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_rels/sheet1.xml.rels" ContentType="application/vnd.openxmlformats-package.relationships+xml"/>
  <Override PartName="/xl/worksheets/_rels/sheet1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xl/media/image3.png" ContentType="image/png"/>
  <Override PartName="/xl/media/image2.png" ContentType="image/png"/>
  <Override PartName="/xl/worksheets/sheet15.xml" ContentType="application/vnd.openxmlformats-officedocument.spreadsheetml.worksheet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lor da Contratação" sheetId="1" state="visible" r:id="rId3"/>
    <sheet name="Resumo" sheetId="2" state="visible" r:id="rId4"/>
    <sheet name="Equipe Técnica" sheetId="3" state="visible" r:id="rId5"/>
    <sheet name="Base Blumenau" sheetId="4" state="visible" r:id="rId6"/>
    <sheet name="Desl. Base Blumenau" sheetId="5" state="visible" r:id="rId7"/>
    <sheet name="Base Joinville" sheetId="6" state="visible" r:id="rId8"/>
    <sheet name="Desl. Base Joinville" sheetId="7" state="visible" r:id="rId9"/>
    <sheet name="Comp. Veículo" sheetId="8" state="visible" r:id="rId10"/>
    <sheet name="Custo Eng. Eletricista" sheetId="9" state="visible" r:id="rId11"/>
    <sheet name="Comp. Eng. Eletricista" sheetId="10" state="visible" r:id="rId12"/>
    <sheet name="Custo Oficial de Manutenção" sheetId="11" state="visible" r:id="rId13"/>
    <sheet name="Comp. Oficial de Manutenção" sheetId="12" state="visible" r:id="rId14"/>
    <sheet name="Unidades" sheetId="13" state="visible" r:id="rId15"/>
    <sheet name="BDI" sheetId="14" state="visible" r:id="rId16"/>
    <sheet name="Divisão Custos ISSQN" sheetId="15" state="visible" r:id="rId17"/>
  </sheets>
  <definedNames>
    <definedName function="false" hidden="false" localSheetId="3" name="_xlnm.Print_Area" vbProcedure="false">'Base Blumenau'!$B$2:$AW$22</definedName>
    <definedName function="false" hidden="false" localSheetId="5" name="_xlnm.Print_Area" vbProcedure="false">'Base Joinville'!$B$2:$AW$23</definedName>
    <definedName function="false" hidden="false" localSheetId="13" name="_xlnm.Print_Area" vbProcedure="false">BDI!$B$1:$J$44</definedName>
    <definedName function="false" hidden="false" localSheetId="4" name="_xlnm.Print_Area" vbProcedure="false">'Desl. Base Blumenau'!$B$2:$M$31</definedName>
    <definedName function="false" hidden="false" localSheetId="6" name="_xlnm.Print_Area" vbProcedure="false">'Desl. Base Joinville'!$B$2:$M$57</definedName>
    <definedName function="false" hidden="false" localSheetId="2" name="_xlnm.Print_Area" vbProcedure="false">'Equipe Técnica'!$B$2:$E$13</definedName>
    <definedName function="false" hidden="false" localSheetId="12" name="_xlnm.Print_Area" vbProcedure="false">Unidades!$B$2:$H$15</definedName>
    <definedName function="false" hidden="false" name="Excel_BuiltIn__FilterDatabase_9_1" vbProcedure="false">#REF!</definedName>
    <definedName function="false" hidden="false" name="_FilterDatabase_3" vbProcedure="false">#REF!</definedName>
    <definedName function="false" hidden="false" name="___xlnm__FilterDatabase_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<sst xmlns="http://schemas.openxmlformats.org/spreadsheetml/2006/main" count="790" uniqueCount="313">
  <si>
    <t xml:space="preserve">ANEXO I – B15</t>
  </si>
  <si>
    <t xml:space="preserve">PLANILHA DETALHADA DE FORMAÇÃO DE PREÇO</t>
  </si>
  <si>
    <t xml:space="preserve">POLO IV</t>
  </si>
  <si>
    <t xml:space="preserve">NÃO DESONERADA</t>
  </si>
  <si>
    <t xml:space="preserve">ITEM</t>
  </si>
  <si>
    <t xml:space="preserve">DESCRIÇÃO DO SERVIÇO</t>
  </si>
  <si>
    <t xml:space="preserve">UN.</t>
  </si>
  <si>
    <t xml:space="preserve">QTE.</t>
  </si>
  <si>
    <t xml:space="preserve">PREÇO UNITÁRIO (R$)</t>
  </si>
  <si>
    <t xml:space="preserve">PREÇO ANUAL (R$)</t>
  </si>
  <si>
    <t xml:space="preserve">Serviço de manutenção predial preventiva e corretiva por demanda, com fornecimento de materiais, peças e componentes, nos imóveis relacionados no Polo Regional IV.</t>
  </si>
  <si>
    <t xml:space="preserve">Mês</t>
  </si>
  <si>
    <t xml:space="preserve">VALOR TOTAL DO ITEM 4: R$ 1.291.788,12 (Um milhão, duzentos e noventa e um mil, setecentos e oitenta e oito reais e doze centavos).</t>
  </si>
  <si>
    <t xml:space="preserve">BASE</t>
  </si>
  <si>
    <t xml:space="preserve">ÁREA TOTAL (m²)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</si>
  <si>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</si>
  <si>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</si>
  <si>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</si>
  <si>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</si>
  <si>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MANUTENÇÃO</t>
  </si>
  <si>
    <t xml:space="preserve">CUSTO ANUAL MANUTENÇÃO</t>
  </si>
  <si>
    <t xml:space="preserve">BLUMENAU</t>
  </si>
  <si>
    <t xml:space="preserve">JOINVILLE</t>
  </si>
  <si>
    <t xml:space="preserve">Custo Médio Mensal</t>
  </si>
  <si>
    <t xml:space="preserve">Custo Anual</t>
  </si>
  <si>
    <t xml:space="preserve">Percentual por unidade</t>
  </si>
  <si>
    <t xml:space="preserve">Preventiva</t>
  </si>
  <si>
    <t xml:space="preserve">Corretiva</t>
  </si>
  <si>
    <t xml:space="preserve">Total</t>
  </si>
  <si>
    <t xml:space="preserve">%</t>
  </si>
  <si>
    <t xml:space="preserve">Valores SINAPI*</t>
  </si>
  <si>
    <t xml:space="preserve">Engenheiro Civil (ref. SINAPI/90778)</t>
  </si>
  <si>
    <t xml:space="preserve">Engenheiro eletricista 
(comp. própria)</t>
  </si>
  <si>
    <t xml:space="preserve">Auxiliar Técnico (ref. SINAPI/88255)</t>
  </si>
  <si>
    <t xml:space="preserve">Quantidade de horas/mês</t>
  </si>
  <si>
    <t xml:space="preserve">Custo mensal</t>
  </si>
  <si>
    <t xml:space="preserve">Custo anual</t>
  </si>
  <si>
    <t xml:space="preserve">* Tabela SINAPI Outubro/2023 (Não Desonerado)</t>
  </si>
  <si>
    <t xml:space="preserve">CUSTO POR PERÍODO (Sem BDI)</t>
  </si>
  <si>
    <t xml:space="preserve">Custo mensal da equipe</t>
  </si>
  <si>
    <t xml:space="preserve">Custo anual da equipe</t>
  </si>
  <si>
    <t xml:space="preserve">UNIDADE</t>
  </si>
  <si>
    <t xml:space="preserve">Área (m²)</t>
  </si>
  <si>
    <t xml:space="preserve">Horas</t>
  </si>
  <si>
    <t xml:space="preserve">GEX / APS</t>
  </si>
  <si>
    <t xml:space="preserve">Custo da equipe em execução por rotina</t>
  </si>
  <si>
    <t xml:space="preserve">Custos mensais</t>
  </si>
  <si>
    <t xml:space="preserve">Custo Equipe técnica</t>
  </si>
  <si>
    <t xml:space="preserve">Custo total por rotina (SEM BDI)</t>
  </si>
  <si>
    <t xml:space="preserve">Custo total por rotina (COM BDI)</t>
  </si>
  <si>
    <t xml:space="preserve">Custo Mensal de Manutenção por unidade</t>
  </si>
  <si>
    <t xml:space="preserve">Uso constante</t>
  </si>
  <si>
    <t xml:space="preserve">Uso esporádico</t>
  </si>
  <si>
    <t xml:space="preserve">Ociosa</t>
  </si>
  <si>
    <t xml:space="preserve">Área corrigida</t>
  </si>
  <si>
    <t xml:space="preserve">horas p visita mensal (h)</t>
  </si>
  <si>
    <t xml:space="preserve">horas p visita trimestral (h)</t>
  </si>
  <si>
    <t xml:space="preserve">Possui hidrante?</t>
  </si>
  <si>
    <t xml:space="preserve">Possui subestação?</t>
  </si>
  <si>
    <t xml:space="preserve">horas p visita semestral(h)</t>
  </si>
  <si>
    <t xml:space="preserve">horas p visita anual(h)</t>
  </si>
  <si>
    <t xml:space="preserve">Total horas p/ ano</t>
  </si>
  <si>
    <t xml:space="preserve">Mensal</t>
  </si>
  <si>
    <t xml:space="preserve">Trimestral</t>
  </si>
  <si>
    <t xml:space="preserve">Semestral</t>
  </si>
  <si>
    <t xml:space="preserve">Anual</t>
  </si>
  <si>
    <t xml:space="preserve">Equipe em desl.</t>
  </si>
  <si>
    <t xml:space="preserve">Pernoite</t>
  </si>
  <si>
    <t xml:space="preserve">Pedágio</t>
  </si>
  <si>
    <t xml:space="preserve">Veículo</t>
  </si>
  <si>
    <t xml:space="preserve">Total de horas de execução do Polo:</t>
  </si>
  <si>
    <t xml:space="preserve">BDI</t>
  </si>
  <si>
    <t xml:space="preserve">Custo Médio Mensal Preventiva</t>
  </si>
  <si>
    <t xml:space="preserve">Custo Médio Mensal Corretiva</t>
  </si>
  <si>
    <t xml:space="preserve">Custo Médio Mensal Manunteção</t>
  </si>
  <si>
    <t xml:space="preserve">Custos / Rotinas</t>
  </si>
  <si>
    <t xml:space="preserve">coeficiente</t>
  </si>
  <si>
    <t xml:space="preserve">12 rotinas</t>
  </si>
  <si>
    <t xml:space="preserve">4 rotinas</t>
  </si>
  <si>
    <t xml:space="preserve">2 rotinas</t>
  </si>
  <si>
    <t xml:space="preserve">1 rotina</t>
  </si>
  <si>
    <t xml:space="preserve">APS BALNEÁRIO CAMBORIÚ</t>
  </si>
  <si>
    <t xml:space="preserve">Custo por tipo de rotina</t>
  </si>
  <si>
    <t xml:space="preserve">APS BRUSQUE</t>
  </si>
  <si>
    <t xml:space="preserve">Custo Anual por tipo de rotina</t>
  </si>
  <si>
    <t xml:space="preserve">APS IBIRAMA</t>
  </si>
  <si>
    <t xml:space="preserve">APS INDAIAL</t>
  </si>
  <si>
    <t xml:space="preserve">APS ITAJAÍ</t>
  </si>
  <si>
    <t xml:space="preserve">Custo Anual Preventiva</t>
  </si>
  <si>
    <t xml:space="preserve">APS PENHA</t>
  </si>
  <si>
    <t xml:space="preserve">APS POMERODE</t>
  </si>
  <si>
    <t xml:space="preserve">Custo Anual Corretiva</t>
  </si>
  <si>
    <t xml:space="preserve">APS RIO DO SUL</t>
  </si>
  <si>
    <t xml:space="preserve">Custo Médio Mensal Manutenção</t>
  </si>
  <si>
    <t xml:space="preserve">APS TIMBÓ</t>
  </si>
  <si>
    <t xml:space="preserve">Custo Anual Manutenção</t>
  </si>
  <si>
    <t xml:space="preserve">CEDOCPREV BLUMENAU</t>
  </si>
  <si>
    <t xml:space="preserve">GEX/APS BLUMENAU</t>
  </si>
  <si>
    <t xml:space="preserve">TOTAL</t>
  </si>
  <si>
    <t xml:space="preserve">Oficial de Manutenção Predial</t>
  </si>
  <si>
    <t xml:space="preserve">Ajudante (ref. SINAPI/88241)</t>
  </si>
  <si>
    <t xml:space="preserve">Eletrotécnico (ref. SINAPI/88266)</t>
  </si>
  <si>
    <t xml:space="preserve">Rotas</t>
  </si>
  <si>
    <t xml:space="preserve">Trecho 1 (Km)</t>
  </si>
  <si>
    <t xml:space="preserve">Trecho 2 (Km)</t>
  </si>
  <si>
    <t xml:space="preserve">Trecho 3 (Km)</t>
  </si>
  <si>
    <t xml:space="preserve">Total (Km)</t>
  </si>
  <si>
    <t xml:space="preserve">Trecho 1 (min)</t>
  </si>
  <si>
    <t xml:space="preserve">Trecho 2 (min)</t>
  </si>
  <si>
    <t xml:space="preserve">Trecho 3 (min)</t>
  </si>
  <si>
    <t xml:space="preserve">Total (min)</t>
  </si>
  <si>
    <t xml:space="preserve">Total (horas)</t>
  </si>
  <si>
    <t xml:space="preserve">Pedágio (ida e volta) *</t>
  </si>
  <si>
    <t xml:space="preserve">Unidades na rota</t>
  </si>
  <si>
    <t xml:space="preserve">Média horas p/ unidade</t>
  </si>
  <si>
    <t xml:space="preserve">Média pedágio p/ unidade</t>
  </si>
  <si>
    <t xml:space="preserve">Subestação?</t>
  </si>
  <si>
    <t xml:space="preserve">Inclui eletrotécnico no deslocamento?</t>
  </si>
  <si>
    <t xml:space="preserve">Custo do Veículo</t>
  </si>
  <si>
    <t xml:space="preserve">Composição*</t>
  </si>
  <si>
    <t xml:space="preserve">Descrição</t>
  </si>
  <si>
    <t xml:space="preserve">Unidade</t>
  </si>
  <si>
    <t xml:space="preserve">Valor</t>
  </si>
  <si>
    <t xml:space="preserve">92145/SINAPI</t>
  </si>
  <si>
    <t xml:space="preserve">CAMINHONETE CABINE SIMPLES</t>
  </si>
  <si>
    <t xml:space="preserve">CHP</t>
  </si>
  <si>
    <t xml:space="preserve">92146/SINAPI</t>
  </si>
  <si>
    <t xml:space="preserve">CHI</t>
  </si>
  <si>
    <t xml:space="preserve">* Nas composições utilizadas foram retirados os custos com motorista, pelo fato da própria equipe conduzir o veículo. A composição detalhada encontra-se em planilha apartada.</t>
  </si>
  <si>
    <t xml:space="preserve">Custo Mensal do Veículo</t>
  </si>
  <si>
    <t xml:space="preserve">Pedágios</t>
  </si>
  <si>
    <t xml:space="preserve">APS CANOINHAS</t>
  </si>
  <si>
    <t xml:space="preserve">APS GUARAMIRIM</t>
  </si>
  <si>
    <t xml:space="preserve">APS JARAGUÁ DO SUL</t>
  </si>
  <si>
    <t xml:space="preserve">APS MAFRA</t>
  </si>
  <si>
    <t xml:space="preserve">APS RIO NEGRO</t>
  </si>
  <si>
    <t xml:space="preserve">APS SÃO BENTO DO SUL</t>
  </si>
  <si>
    <t xml:space="preserve">APS SÃO FRANCISCO DO SUL</t>
  </si>
  <si>
    <t xml:space="preserve">GEX/APS JOINVILLE</t>
  </si>
  <si>
    <t xml:space="preserve">DEPÓSITO JOINVILLE - GUANABARA</t>
  </si>
  <si>
    <t xml:space="preserve">Pedágio (ida e volta)</t>
  </si>
  <si>
    <t xml:space="preserve">COMPOSIÇÃO CUSTO DO VEÍCULO</t>
  </si>
  <si>
    <t xml:space="preserve">Composição ALTERADA SINAPI – 92145 (SEM MOTORISTA)</t>
  </si>
  <si>
    <t xml:space="preserve">Código</t>
  </si>
  <si>
    <t xml:space="preserve">92145</t>
  </si>
  <si>
    <t xml:space="preserve">CAMINHONETE CABINE SIMPLES COM MOTOR 1.6 FLEX, CÂMBIO MANUAL, POTÊNCIA 101/104 CV, 2 PORTAS - CHP DIURNO. AF_11/2015</t>
  </si>
  <si>
    <t xml:space="preserve">Data</t>
  </si>
  <si>
    <t xml:space="preserve">10/2023</t>
  </si>
  <si>
    <t xml:space="preserve">Estado</t>
  </si>
  <si>
    <t xml:space="preserve">Santa Catarina</t>
  </si>
  <si>
    <t xml:space="preserve">Tipo</t>
  </si>
  <si>
    <t xml:space="preserve">CHOR - CUSTOS HORÁRIOS DE MÁQUINAS E EQUIPAMENTOS</t>
  </si>
  <si>
    <t xml:space="preserve">Valor Não Desonerado</t>
  </si>
  <si>
    <t xml:space="preserve">codigo</t>
  </si>
  <si>
    <t xml:space="preserve">Valor Unitário Não Desonerado</t>
  </si>
  <si>
    <t xml:space="preserve">Coeficiente</t>
  </si>
  <si>
    <t xml:space="preserve">C</t>
  </si>
  <si>
    <t xml:space="preserve">92140</t>
  </si>
  <si>
    <t xml:space="preserve">CAMINHONETE CABINE SIMPLES COM MOTOR 1.6 FLEX, CÂMBIO MANUAL, POTÊNCIA 101/104 CV, 2 PORTAS - DEPRECIAÇÃO. AF_11/2015</t>
  </si>
  <si>
    <t xml:space="preserve">H</t>
  </si>
  <si>
    <t xml:space="preserve">1,0</t>
  </si>
  <si>
    <t xml:space="preserve">92141</t>
  </si>
  <si>
    <t xml:space="preserve">CAMINHONETE CABINE SIMPLES COM MOTOR 1.6 FLEX, CÂMBIO MANUAL, POTÊNCIA 101/104 CV, 2 PORTAS - JUROS. AF_11/2015</t>
  </si>
  <si>
    <t xml:space="preserve">92142</t>
  </si>
  <si>
    <t xml:space="preserve">CAMINHONETE CABINE SIMPLES COM MOTOR 1.6 FLEX, CÂMBIO MANUAL, POTÊNCIA 101/104 CV, 2 PORTAS - IMPOSTOS E SEGUROS. AF_11/2015</t>
  </si>
  <si>
    <t xml:space="preserve">92143</t>
  </si>
  <si>
    <t xml:space="preserve">CAMINHONETE CABINE SIMPLES COM MOTOR 1.6 FLEX, CÂMBIO MANUAL, POTÊNCIA 101/104 CV, 2 PORTAS - MANUTENÇÃO. AF_11/2015</t>
  </si>
  <si>
    <t xml:space="preserve">92144</t>
  </si>
  <si>
    <t xml:space="preserve">CAMINHONETE CABINE SIMPLES COM MOTOR 1.6 FLEX, CÂMBIO MANUAL, POTÊNCIA 101/104 CV, 2 PORTAS - MATERIAIS NA OPERAÇÃO. AF_11/2015</t>
  </si>
  <si>
    <t xml:space="preserve">Composição ALTERADA SINAPI – 92146 (SEM MOTORISTA)</t>
  </si>
  <si>
    <t xml:space="preserve">92146</t>
  </si>
  <si>
    <t xml:space="preserve">CAMINHONETE CABINE SIMPLES COM MOTOR 1.6 FLEX, CÂMBIO MANUAL, POTÊNCIA 101/104 CV, 2 PORTAS - CHI DIURNO. AF_11/2015</t>
  </si>
  <si>
    <t xml:space="preserve">SANTA CATARINA</t>
  </si>
  <si>
    <t xml:space="preserve">Profissional</t>
  </si>
  <si>
    <t xml:space="preserve">ENGENHEIRO ELETRICISTA</t>
  </si>
  <si>
    <t xml:space="preserve">Referência</t>
  </si>
  <si>
    <t xml:space="preserve">99275 / insumo SBC</t>
  </si>
  <si>
    <t xml:space="preserve">Data base</t>
  </si>
  <si>
    <t xml:space="preserve">Custo do insumo (h)</t>
  </si>
  <si>
    <t xml:space="preserve">Encargos Sociais (*) - (ES)</t>
  </si>
  <si>
    <t xml:space="preserve">Apêndice 24: Encargos Sociais – Santa Catarina</t>
  </si>
  <si>
    <t xml:space="preserve">Horista Desonerado</t>
  </si>
  <si>
    <t xml:space="preserve">Horista Não Desonerado</t>
  </si>
  <si>
    <t xml:space="preserve">Cálculo custo do funcionário</t>
  </si>
  <si>
    <r>
      <rPr>
        <sz val="10"/>
        <rFont val="Arial"/>
        <family val="2"/>
        <charset val="1"/>
      </rPr>
      <t xml:space="preserve">Horista Desonerado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</si>
  <si>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0"/>
        <rFont val="Arial"/>
        <family val="2"/>
        <charset val="1"/>
      </rPr>
      <t xml:space="preserve">Horista Não Desonerado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</si>
  <si>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Fonte: Livro SINAPI: Referências para Custos Horários e Encargos: Sistema Nacional de Pesquisa de Custos e Índices da Construção Civil / Caixa Econômica Federal. – 5ª Ed. – Brasília: CAIXA, 2022.</t>
  </si>
  <si>
    <t xml:space="preserve">COMPOSIÇÃO CUSTO ENGENHEIRO ELETRICISTA</t>
  </si>
  <si>
    <t xml:space="preserve">Composição ALTERADA SINAPI – 91677</t>
  </si>
  <si>
    <t xml:space="preserve">ENGENHEIRO ELETRICISTA COM ENCARGOS COMPLEMENTARES</t>
  </si>
  <si>
    <t xml:space="preserve">SEDI - SERVIÇOS DIVERSOS</t>
  </si>
  <si>
    <t xml:space="preserve">I</t>
  </si>
  <si>
    <t xml:space="preserve">23688/SBC</t>
  </si>
  <si>
    <t xml:space="preserve">CURSO DE CAPACITACAO PARA ENGENHEIRO ELETRICISTA</t>
  </si>
  <si>
    <t xml:space="preserve">-</t>
  </si>
  <si>
    <t xml:space="preserve">99275/SBC</t>
  </si>
  <si>
    <t xml:space="preserve">Mão de Obra</t>
  </si>
  <si>
    <t xml:space="preserve"> 00037372 </t>
  </si>
  <si>
    <t xml:space="preserve">EXAMES - HORISTA (COLETADO CAIXA - ENCARGOS COMPLEMENTARES)</t>
  </si>
  <si>
    <t xml:space="preserve">Outros</t>
  </si>
  <si>
    <t xml:space="preserve">1,14</t>
  </si>
  <si>
    <t xml:space="preserve"> 00037373 </t>
  </si>
  <si>
    <t xml:space="preserve">SEGURO - HORISTA (COLETADO CAIXA - ENCARGOS COMPLEMENTARES)</t>
  </si>
  <si>
    <t xml:space="preserve">Taxas</t>
  </si>
  <si>
    <t xml:space="preserve">0,07</t>
  </si>
  <si>
    <t xml:space="preserve"> 00043462 </t>
  </si>
  <si>
    <t xml:space="preserve">FERRAMENTAS - FAMILIA ENGENHEIRO CIVIL - HORISTA (ENCARGOS COMPLEMENTARES - COLETADO CAIXA)</t>
  </si>
  <si>
    <t xml:space="preserve">Equipamento</t>
  </si>
  <si>
    <t xml:space="preserve">0,01</t>
  </si>
  <si>
    <t xml:space="preserve"> 00043486 </t>
  </si>
  <si>
    <t xml:space="preserve">EPI - FAMILIA ENGENHEIRO CIVIL - HORISTA (ENCARGOS COMPLEMENTARES - COLETADO CAIXA)</t>
  </si>
  <si>
    <t xml:space="preserve">0,71</t>
  </si>
  <si>
    <t xml:space="preserve">Categoria</t>
  </si>
  <si>
    <t xml:space="preserve">Profissional (*)</t>
  </si>
  <si>
    <t xml:space="preserve">Convenção coletiva</t>
  </si>
  <si>
    <r>
      <rPr>
        <sz val="10"/>
        <rFont val="Arial"/>
        <family val="2"/>
        <charset val="1"/>
      </rPr>
      <t xml:space="preserve">CCT </t>
    </r>
    <r>
      <rPr>
        <sz val="10"/>
        <color rgb="FF000000"/>
        <rFont val="Arial;Arial"/>
        <family val="2"/>
        <charset val="1"/>
      </rPr>
      <t xml:space="preserve">SC001231/2023</t>
    </r>
  </si>
  <si>
    <t xml:space="preserve">Abrangência</t>
  </si>
  <si>
    <t xml:space="preserve">Trabalhadores das indústrias da construção civil de Florianópolis/SC e região</t>
  </si>
  <si>
    <t xml:space="preserve">Salário base (SB)</t>
  </si>
  <si>
    <t xml:space="preserve">Encargos Sociais (**) - (ES)
Apêndice 24: Encargos Sociais – Santa Catarina</t>
  </si>
  <si>
    <t xml:space="preserve">Mensalista Desonerado</t>
  </si>
  <si>
    <t xml:space="preserve">Mensalista Não Desonerado</t>
  </si>
  <si>
    <t xml:space="preserve">Cálculo custo do funcionário (***)</t>
  </si>
  <si>
    <r>
      <rPr>
        <sz val="11"/>
        <color rgb="FF000000"/>
        <rFont val="Arial"/>
        <family val="2"/>
        <charset val="1"/>
      </rPr>
      <t xml:space="preserve">Mensalista Desonerado (M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</si>
  <si>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Mensalista Não desonerado (M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</si>
  <si>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Horista Desonerado (****)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</si>
  <si>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1"/>
        <color rgb="FF000000"/>
        <rFont val="Arial"/>
        <family val="2"/>
        <charset val="1"/>
      </rPr>
      <t xml:space="preserve">Horista Não Desonerado (****)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</si>
  <si>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Descrição da categoria na CCT</t>
  </si>
  <si>
    <t xml:space="preserve">(**) Fonte: Livro SINAPI: Referências para Custos Horários e Encargos: Sistema Nacional de Pesquisa de Custos e Índices da Construção Civil / Caixa Econômica Federal. – 5ª Ed. – Brasília: CAIXA, 2022.</t>
  </si>
  <si>
    <t xml:space="preserve">(***) Fonte: SINAPI: Metodologias e Conceitos: Sistema Nacional de Pesquisa de Custos e Índices da Construção Civil / Caixa Econômica Federal. – 9ª Ed. – Brasília: CAIXA, 2023.
</t>
  </si>
  <si>
    <t xml:space="preserve">(****) Fórmula para cálculo do custo do horista, com base no custo do mensalista (Livro Metodologias e Conceitos, página 82)</t>
  </si>
  <si>
    <t xml:space="preserve">COMPOSIÇÃO CUSTO OFICIAL DE MANUTENÇÃO PREDIAL (CBO 5143-25)</t>
  </si>
  <si>
    <t xml:space="preserve">Composição ALTERADA SINAPI – 88264</t>
  </si>
  <si>
    <t xml:space="preserve">OFICIAL DE MANUTENÇÃO PREDIAL COM ENCARGOS COMPLEMENTARES (CBO 5143-25)</t>
  </si>
  <si>
    <t xml:space="preserve">CURSO DE CAPACITAÇÃO PARA ELETRICISTA (ENCARGOS COMPLEMENTARES) - HORISTA</t>
  </si>
  <si>
    <t xml:space="preserve"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</si>
  <si>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 xml:space="preserve">SC001231/2023 /</t>
    </r>
    <r>
      <rPr>
        <sz val="10"/>
        <color rgb="FF000000"/>
        <rFont val="Arial"/>
        <family val="1"/>
        <charset val="1"/>
      </rPr>
      <t xml:space="preserve"> CBO 5413-25)</t>
    </r>
  </si>
  <si>
    <t xml:space="preserve">ALIMENTACAO - HORISTA (COLETADO CAIXA - ENCARGOS COMPLEMENTARES)</t>
  </si>
  <si>
    <t xml:space="preserve">TRANSPORTE - HORISTA (COLETADO CAIXA - ENCARGOS COMPLEMENTARES)</t>
  </si>
  <si>
    <t xml:space="preserve">Serviços</t>
  </si>
  <si>
    <t xml:space="preserve">FERRAMENTAS - FAMILIA ELETRICISTA - HORISTA (ENCARGOS COMPLEMENTARES - COLETADO CAIXA)</t>
  </si>
  <si>
    <t xml:space="preserve">FERRAMENTAS - FAMILIA ENCANADOR - HORISTA (ENCARGOS COMPLEMENTARES - COLETADO CAIXA)</t>
  </si>
  <si>
    <t xml:space="preserve">EPI – FAMILIA ELETRICISTA - HORISTA (ENCARGOS COMPLEMENTARES - COLETADO CAIXA)</t>
  </si>
  <si>
    <t xml:space="preserve">GERÊNCIA</t>
  </si>
  <si>
    <t xml:space="preserve">ENDEREÇO</t>
  </si>
  <si>
    <t xml:space="preserve">TEMPO DE DESLOCAMENTO IDA E VOLTA DA BASE EM HORAS</t>
  </si>
  <si>
    <t xml:space="preserve">ISS</t>
  </si>
  <si>
    <t xml:space="preserve">ÁREA CONSTRUÍDA (M²)</t>
  </si>
  <si>
    <t xml:space="preserve">Uso constante
(M²)</t>
  </si>
  <si>
    <t xml:space="preserve">Uso esporádico (M²)</t>
  </si>
  <si>
    <t xml:space="preserve">Ociosa (M²)</t>
  </si>
  <si>
    <t xml:space="preserve">HIDRANTE</t>
  </si>
  <si>
    <t xml:space="preserve">SUBESTAÇÃO</t>
  </si>
  <si>
    <t xml:space="preserve">Av. do Estado Dalmo Vieira, 3660</t>
  </si>
  <si>
    <t xml:space="preserve">SIM</t>
  </si>
  <si>
    <t xml:space="preserve">NÃO</t>
  </si>
  <si>
    <t xml:space="preserve">Rua Barão do Rio Branco, 206, Centro</t>
  </si>
  <si>
    <t xml:space="preserve">Rua XV de Novembro, 459, Centro</t>
  </si>
  <si>
    <t xml:space="preserve">Rua Marechal Floriano Peixoto, 444, Centro</t>
  </si>
  <si>
    <t xml:space="preserve">R. Doutor José Bonifácio Malburg, 195, Centro</t>
  </si>
  <si>
    <t xml:space="preserve">Rua João Veríssimo da Silva – SN, Centro</t>
  </si>
  <si>
    <t xml:space="preserve">Rua Arthur Reinert, 11, Centro</t>
  </si>
  <si>
    <t xml:space="preserve">Av. 7 de Setembro, 352, Jardim América</t>
  </si>
  <si>
    <t xml:space="preserve">Rua Benjamin Constant, 29, Centro</t>
  </si>
  <si>
    <t xml:space="preserve">Rua João Pessoa, 200, Velha</t>
  </si>
  <si>
    <t xml:space="preserve">Rua Floriano Peixoto, n°126, Centro</t>
  </si>
  <si>
    <t xml:space="preserve">Rua Vidal Ramos, 780, Centro</t>
  </si>
  <si>
    <t xml:space="preserve">Rua Nelson Luiz Rosa de Bem, 90, Centro</t>
  </si>
  <si>
    <t xml:space="preserve">Av. Getúlio Vargas, 500, Centro</t>
  </si>
  <si>
    <t xml:space="preserve">Rua Doutor Mathias Pienchnick, 37, Centro</t>
  </si>
  <si>
    <t xml:space="preserve">Rua Brasílio Celestino de Oliveira, 30</t>
  </si>
  <si>
    <t xml:space="preserve">Rua Capitão Ernesto Nunes, 89, Centro</t>
  </si>
  <si>
    <t xml:space="preserve">Praça da Bandeira, 20, Centro Histórico</t>
  </si>
  <si>
    <t xml:space="preserve">Rua Nove de Março, 241, Centro</t>
  </si>
  <si>
    <t xml:space="preserve">Rua Graciosa, 380</t>
  </si>
  <si>
    <t xml:space="preserve">PLANILHA DE COMPOSIÇÃO DAS TAXAS DE BONIFICAÇÃO E DESPESAS INDIRETAS (BDI)</t>
  </si>
  <si>
    <t xml:space="preserve">Fórmula utilizada no Acórdão TCU 2622/2013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</si>
  <si>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</si>
  <si>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</si>
  <si>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</si>
  <si>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</si>
  <si>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</si>
  <si>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</si>
  <si>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</si>
  <si>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</si>
  <si>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</si>
  <si>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</si>
  <si>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</si>
  <si>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</si>
  <si>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</si>
  <si>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</si>
  <si>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</si>
  <si>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</si>
  <si>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</si>
  <si>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</si>
  <si>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</si>
  <si>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</si>
  <si>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PIS</t>
  </si>
  <si>
    <t xml:space="preserve">COFINS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</si>
  <si>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</si>
  <si>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</si>
  <si>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</si>
  <si>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</si>
  <si>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ISS do município</t>
  </si>
  <si>
    <t xml:space="preserve">Custo anual preventiva SEM BDI</t>
  </si>
  <si>
    <t xml:space="preserve">Custo anual preventiva COM BDI</t>
  </si>
  <si>
    <t xml:space="preserve">Alíquota ISS (%)</t>
  </si>
  <si>
    <t xml:space="preserve">Preventiva Sem BDI</t>
  </si>
  <si>
    <t xml:space="preserve">Preventiva Com BDI</t>
  </si>
  <si>
    <t xml:space="preserve">Valor total sem BDI</t>
  </si>
  <si>
    <t xml:space="preserve">Valor total com BDI</t>
  </si>
  <si>
    <t xml:space="preserve">% sem BDI</t>
  </si>
  <si>
    <t xml:space="preserve">% com BDI</t>
  </si>
</sst>
</file>

<file path=xl/styles.xml><?xml version="1.0" encoding="utf-8"?>
<styleSheet xmlns="http://schemas.openxmlformats.org/spreadsheetml/2006/main">
  <numFmts count="18">
    <numFmt numFmtId="164" formatCode="General"/>
    <numFmt numFmtId="165" formatCode="&quot; R$ &quot;* #,##0.00\ ;&quot;-R$ &quot;* #,##0.00\ ;&quot; R$ &quot;* \-#\ ;@\ "/>
    <numFmt numFmtId="166" formatCode="0%"/>
    <numFmt numFmtId="167" formatCode="[$R$-416]\ #,##0.00;[RED]\-[$R$-416]\ #,##0.00"/>
    <numFmt numFmtId="168" formatCode="General"/>
    <numFmt numFmtId="169" formatCode="#,##0.00"/>
    <numFmt numFmtId="170" formatCode="0.00"/>
    <numFmt numFmtId="171" formatCode="0.0000%"/>
    <numFmt numFmtId="172" formatCode="#,##0.00\ ;[RED]\(#,##0.00\)"/>
    <numFmt numFmtId="173" formatCode="0.00%"/>
    <numFmt numFmtId="174" formatCode="#,##0.0"/>
    <numFmt numFmtId="175" formatCode="#,##0"/>
    <numFmt numFmtId="176" formatCode="_-* #,##0.00_-;\-* #,##0.00_-;_-* \-??_-;_-@_-"/>
    <numFmt numFmtId="177" formatCode="0"/>
    <numFmt numFmtId="178" formatCode="@"/>
    <numFmt numFmtId="179" formatCode="&quot;R$ &quot;#,##0.00"/>
    <numFmt numFmtId="180" formatCode="d/m/yyyy"/>
    <numFmt numFmtId="181" formatCode="&quot;R$ &quot;#,##0.00;[RED]&quot;-R$ &quot;#,##0.00"/>
  </numFmts>
  <fonts count="29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 val="true"/>
      <sz val="10"/>
      <color theme="1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b val="true"/>
      <sz val="10"/>
      <color theme="1"/>
      <name val="Arial"/>
      <family val="1"/>
      <charset val="1"/>
    </font>
    <font>
      <sz val="10"/>
      <color rgb="FF000000"/>
      <name val="Arial"/>
      <family val="1"/>
      <charset val="1"/>
    </font>
    <font>
      <vertAlign val="subscript"/>
      <sz val="10"/>
      <name val="Arial"/>
      <family val="2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;Arial"/>
      <family val="2"/>
      <charset val="1"/>
    </font>
    <font>
      <sz val="12"/>
      <color rgb="FF000000"/>
      <name val="Arial"/>
      <family val="2"/>
      <charset val="1"/>
    </font>
    <font>
      <b val="true"/>
      <sz val="13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0" tint="-0.15"/>
        <bgColor rgb="FFDCDADA"/>
      </patternFill>
    </fill>
    <fill>
      <patternFill patternType="solid">
        <fgColor theme="6" tint="0.7999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FFFFFF"/>
        <bgColor rgb="FFEEEEEE"/>
      </patternFill>
    </fill>
    <fill>
      <patternFill patternType="solid">
        <fgColor theme="2" tint="-0.05"/>
        <bgColor rgb="FFD9D9D9"/>
      </patternFill>
    </fill>
    <fill>
      <patternFill patternType="solid">
        <fgColor theme="6" tint="0.3999"/>
        <bgColor rgb="FFD9D9D9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7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1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2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2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0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11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6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2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7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3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8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9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4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2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2" fontId="11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0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3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3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6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6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8" fontId="21" fillId="6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2" fillId="6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0" fillId="6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1" fillId="6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9" fillId="6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6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6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23" fillId="6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2" fillId="6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0" fontId="5" fillId="6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6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3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3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7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9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9" fontId="5" fillId="0" borderId="0" xfId="23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6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1" fillId="6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21" fillId="6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25" fillId="6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9" fontId="23" fillId="6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2" fillId="4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5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8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8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2" fillId="4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3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3" borderId="2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6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1" fillId="6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21" fillId="0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6" borderId="1" xfId="2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5" fillId="6" borderId="1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0" fillId="6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1" fillId="6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9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3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3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23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1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6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1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1" fillId="6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0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6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1" fillId="4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1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1" fillId="4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3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3" fontId="11" fillId="4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3" fontId="11" fillId="4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3" fontId="11" fillId="4" borderId="1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1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1" fontId="12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2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9" fontId="11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 2" xfId="21"/>
    <cellStyle name="Normal 3" xfId="22"/>
    <cellStyle name="Normal 4" xfId="23"/>
    <cellStyle name="Porcentagem 2" xfId="24"/>
    <cellStyle name="TableStyleLight1" xfId="25"/>
    <cellStyle name="TableStyleLight1 2" xfId="26"/>
    <cellStyle name="TableStyleLight1 3" xfId="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993366"/>
      <rgbColor rgb="FFEEEEEE"/>
      <rgbColor rgb="FFEDEDE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66FFFF"/>
      <rgbColor rgb="FFFF99CC"/>
      <rgbColor rgb="FFCC99FF"/>
      <rgbColor rgb="FFDCDADA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21" Type="http://schemas.openxmlformats.org/officeDocument/2006/relationships/customXml" Target="../customXml/item6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" Type="http://schemas.openxmlformats.org/officeDocument/2006/relationships/styles" Target="styles.xml"/><Relationship Id="rId16" Type="http://schemas.openxmlformats.org/officeDocument/2006/relationships/worksheet" Target="worksheets/sheet14.xml"/><Relationship Id="rId20" Type="http://schemas.openxmlformats.org/officeDocument/2006/relationships/customXml" Target="../customXml/item5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8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1579320</xdr:colOff>
      <xdr:row>1</xdr:row>
      <xdr:rowOff>97920</xdr:rowOff>
    </xdr:from>
    <xdr:to>
      <xdr:col>5</xdr:col>
      <xdr:colOff>46800</xdr:colOff>
      <xdr:row>1</xdr:row>
      <xdr:rowOff>1176480</xdr:rowOff>
    </xdr:to>
    <xdr:sp>
      <xdr:nvSpPr>
        <xdr:cNvPr id="0" name="CustomShape 1"/>
        <xdr:cNvSpPr/>
      </xdr:nvSpPr>
      <xdr:spPr>
        <a:xfrm>
          <a:off x="2441160" y="288360"/>
          <a:ext cx="2640600" cy="10785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2095560</xdr:colOff>
      <xdr:row>1</xdr:row>
      <xdr:rowOff>207720</xdr:rowOff>
    </xdr:from>
    <xdr:to>
      <xdr:col>4</xdr:col>
      <xdr:colOff>380880</xdr:colOff>
      <xdr:row>1</xdr:row>
      <xdr:rowOff>1147680</xdr:rowOff>
    </xdr:to>
    <xdr:pic>
      <xdr:nvPicPr>
        <xdr:cNvPr id="1" name="Imagem 3" descr=""/>
        <xdr:cNvPicPr/>
      </xdr:nvPicPr>
      <xdr:blipFill>
        <a:blip r:embed="rId1"/>
        <a:stretch/>
      </xdr:blipFill>
      <xdr:spPr>
        <a:xfrm>
          <a:off x="2957400" y="398160"/>
          <a:ext cx="2022840" cy="9399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142560</xdr:colOff>
      <xdr:row>25</xdr:row>
      <xdr:rowOff>87480</xdr:rowOff>
    </xdr:from>
    <xdr:to>
      <xdr:col>2</xdr:col>
      <xdr:colOff>2760120</xdr:colOff>
      <xdr:row>29</xdr:row>
      <xdr:rowOff>56880</xdr:rowOff>
    </xdr:to>
    <xdr:pic>
      <xdr:nvPicPr>
        <xdr:cNvPr id="2" name="Figura 2" descr=""/>
        <xdr:cNvPicPr/>
      </xdr:nvPicPr>
      <xdr:blipFill>
        <a:blip r:embed="rId1"/>
        <a:srcRect l="17758" t="51097" r="20982" b="38299"/>
        <a:stretch/>
      </xdr:blipFill>
      <xdr:spPr>
        <a:xfrm>
          <a:off x="578160" y="5822640"/>
          <a:ext cx="6278400" cy="617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6840</xdr:colOff>
      <xdr:row>21</xdr:row>
      <xdr:rowOff>30960</xdr:rowOff>
    </xdr:from>
    <xdr:to>
      <xdr:col>3</xdr:col>
      <xdr:colOff>163800</xdr:colOff>
      <xdr:row>21</xdr:row>
      <xdr:rowOff>528840</xdr:rowOff>
    </xdr:to>
    <xdr:pic>
      <xdr:nvPicPr>
        <xdr:cNvPr id="3" name="Figura 3" descr=""/>
        <xdr:cNvPicPr/>
      </xdr:nvPicPr>
      <xdr:blipFill>
        <a:blip r:embed="rId2"/>
        <a:srcRect l="6614" t="69066" r="12466" b="20121"/>
        <a:stretch/>
      </xdr:blipFill>
      <xdr:spPr>
        <a:xfrm>
          <a:off x="442440" y="3898080"/>
          <a:ext cx="6693840" cy="4978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66FFFF"/>
    <pageSetUpPr fitToPage="false"/>
  </sheetPr>
  <dimension ref="B1:G65541"/>
  <sheetViews>
    <sheetView showFormulas="false" showGridLines="fals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G11" activeCellId="0" sqref="G11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" width="5.5"/>
    <col collapsed="false" customWidth="true" hidden="false" outlineLevel="0" max="3" min="3" style="2" width="42.12"/>
    <col collapsed="false" customWidth="true" hidden="false" outlineLevel="0" max="4" min="4" style="2" width="6.12"/>
    <col collapsed="false" customWidth="true" hidden="false" outlineLevel="0" max="5" min="5" style="2" width="5.62"/>
    <col collapsed="false" customWidth="true" hidden="false" outlineLevel="0" max="6" min="6" style="2" width="15.26"/>
    <col collapsed="false" customWidth="true" hidden="false" outlineLevel="0" max="7" min="7" style="2" width="20"/>
    <col collapsed="false" customWidth="true" hidden="false" outlineLevel="0" max="254" min="8" style="2" width="10.62"/>
    <col collapsed="false" customWidth="true" hidden="false" outlineLevel="0" max="1026" min="255" style="1" width="10.5"/>
  </cols>
  <sheetData>
    <row r="1" customFormat="false" ht="15" hidden="false" customHeight="true" outlineLevel="0" collapsed="false"/>
    <row r="2" customFormat="false" ht="103.5" hidden="false" customHeight="true" outlineLevel="0" collapsed="false">
      <c r="B2" s="3"/>
      <c r="C2" s="3"/>
      <c r="D2" s="3"/>
      <c r="E2" s="3"/>
      <c r="F2" s="3"/>
      <c r="G2" s="3"/>
    </row>
    <row r="3" customFormat="false" ht="18" hidden="false" customHeight="true" outlineLevel="0" collapsed="false">
      <c r="B3" s="4"/>
      <c r="C3" s="4"/>
      <c r="D3" s="4"/>
      <c r="E3" s="4"/>
      <c r="F3" s="4"/>
      <c r="G3" s="4"/>
    </row>
    <row r="4" customFormat="false" ht="18" hidden="false" customHeight="true" outlineLevel="0" collapsed="false">
      <c r="B4" s="5" t="s">
        <v>0</v>
      </c>
      <c r="C4" s="5"/>
      <c r="D4" s="5"/>
      <c r="E4" s="5"/>
      <c r="F4" s="5"/>
      <c r="G4" s="5"/>
    </row>
    <row r="5" customFormat="false" ht="18" hidden="false" customHeight="true" outlineLevel="0" collapsed="false">
      <c r="B5" s="4"/>
      <c r="C5" s="4"/>
      <c r="D5" s="4"/>
      <c r="E5" s="4"/>
      <c r="F5" s="4"/>
      <c r="G5" s="4"/>
    </row>
    <row r="6" customFormat="false" ht="19.5" hidden="false" customHeight="true" outlineLevel="0" collapsed="false">
      <c r="B6" s="6" t="s">
        <v>1</v>
      </c>
      <c r="C6" s="6"/>
      <c r="D6" s="6"/>
      <c r="E6" s="6"/>
      <c r="F6" s="6"/>
      <c r="G6" s="6"/>
    </row>
    <row r="7" customFormat="false" ht="19.5" hidden="false" customHeight="true" outlineLevel="0" collapsed="false">
      <c r="B7" s="7" t="s">
        <v>2</v>
      </c>
      <c r="C7" s="7"/>
      <c r="D7" s="7"/>
      <c r="E7" s="7"/>
      <c r="F7" s="7"/>
      <c r="G7" s="7"/>
    </row>
    <row r="8" customFormat="false" ht="19.5" hidden="false" customHeight="true" outlineLevel="0" collapsed="false">
      <c r="B8" s="8" t="s">
        <v>3</v>
      </c>
      <c r="C8" s="8"/>
      <c r="D8" s="8"/>
      <c r="E8" s="8"/>
      <c r="F8" s="8"/>
      <c r="G8" s="8"/>
    </row>
    <row r="9" customFormat="false" ht="15.75" hidden="false" customHeight="true" outlineLevel="0" collapsed="false">
      <c r="B9" s="4"/>
      <c r="C9" s="4"/>
      <c r="D9" s="4"/>
      <c r="E9" s="4"/>
      <c r="F9" s="4"/>
      <c r="G9" s="4"/>
    </row>
    <row r="10" customFormat="false" ht="42" hidden="false" customHeight="true" outlineLevel="0" collapsed="false">
      <c r="B10" s="9" t="s">
        <v>4</v>
      </c>
      <c r="C10" s="9" t="s">
        <v>5</v>
      </c>
      <c r="D10" s="9" t="s">
        <v>6</v>
      </c>
      <c r="E10" s="9" t="s">
        <v>7</v>
      </c>
      <c r="F10" s="9" t="s">
        <v>8</v>
      </c>
      <c r="G10" s="9" t="s">
        <v>9</v>
      </c>
    </row>
    <row r="11" customFormat="false" ht="81" hidden="false" customHeight="true" outlineLevel="0" collapsed="false">
      <c r="B11" s="10" t="n">
        <v>4</v>
      </c>
      <c r="C11" s="11" t="s">
        <v>10</v>
      </c>
      <c r="D11" s="12" t="s">
        <v>11</v>
      </c>
      <c r="E11" s="12" t="n">
        <v>12</v>
      </c>
      <c r="F11" s="13" t="n">
        <f aca="false">ROUND(Resumo!D7+Resumo!F7,2)</f>
        <v>107649.01</v>
      </c>
      <c r="G11" s="14" t="n">
        <f aca="false">F11*12</f>
        <v>1291788.12</v>
      </c>
    </row>
    <row r="12" customFormat="false" ht="42" hidden="false" customHeight="true" outlineLevel="0" collapsed="false">
      <c r="B12" s="15" t="s">
        <v>12</v>
      </c>
      <c r="C12" s="15"/>
      <c r="D12" s="15"/>
      <c r="E12" s="15"/>
      <c r="F12" s="15"/>
      <c r="G12" s="15"/>
    </row>
    <row r="65541" customFormat="false" ht="12.75" hidden="false" customHeight="true" outlineLevel="0" collapsed="false"/>
  </sheetData>
  <mergeCells count="6">
    <mergeCell ref="B2:G2"/>
    <mergeCell ref="B4:G4"/>
    <mergeCell ref="B6:G6"/>
    <mergeCell ref="B7:G7"/>
    <mergeCell ref="B8:G8"/>
    <mergeCell ref="B12:G12"/>
  </mergeCells>
  <printOptions headings="false" gridLines="false" gridLinesSet="true" horizontalCentered="true" verticalCentered="fals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K1048576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G15" activeCellId="0" sqref="G15"/>
    </sheetView>
  </sheetViews>
  <sheetFormatPr defaultColWidth="8.453125" defaultRowHeight="12.75" zeroHeight="false" outlineLevelRow="0" outlineLevelCol="0"/>
  <cols>
    <col collapsed="false" customWidth="true" hidden="false" outlineLevel="0" max="1" min="1" style="1" width="5.2"/>
    <col collapsed="false" customWidth="true" hidden="false" outlineLevel="0" max="2" min="2" style="1" width="2.99"/>
    <col collapsed="false" customWidth="true" hidden="false" outlineLevel="0" max="3" min="3" style="1" width="12.21"/>
    <col collapsed="false" customWidth="true" hidden="false" outlineLevel="0" max="4" min="4" style="1" width="60.05"/>
    <col collapsed="false" customWidth="true" hidden="false" outlineLevel="0" max="5" min="5" style="1" width="30.01"/>
    <col collapsed="false" customWidth="true" hidden="false" outlineLevel="0" max="6" min="6" style="1" width="10.01"/>
    <col collapsed="false" customWidth="true" hidden="false" outlineLevel="0" max="7" min="7" style="1" width="13.78"/>
    <col collapsed="false" customWidth="true" hidden="false" outlineLevel="0" max="8" min="8" style="1" width="11.96"/>
    <col collapsed="false" customWidth="true" hidden="false" outlineLevel="0" max="9" min="9" style="1" width="14.03"/>
    <col collapsed="false" customWidth="true" hidden="false" outlineLevel="0" max="1026" min="10" style="1" width="8.57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64" t="s">
        <v>187</v>
      </c>
      <c r="C2" s="164"/>
      <c r="D2" s="164"/>
      <c r="E2" s="164"/>
      <c r="F2" s="164"/>
      <c r="G2" s="164"/>
      <c r="H2" s="164"/>
      <c r="I2" s="164"/>
    </row>
    <row r="3" customFormat="false" ht="19.5" hidden="false" customHeight="true" outlineLevel="0" collapsed="false"/>
    <row r="4" customFormat="false" ht="16.5" hidden="false" customHeight="true" outlineLevel="0" collapsed="false">
      <c r="B4" s="165" t="s">
        <v>188</v>
      </c>
      <c r="C4" s="165"/>
      <c r="D4" s="165"/>
      <c r="E4" s="165"/>
      <c r="F4" s="165"/>
      <c r="G4" s="165"/>
      <c r="H4" s="165"/>
      <c r="I4" s="165"/>
    </row>
    <row r="5" customFormat="false" ht="16.5" hidden="false" customHeight="true" outlineLevel="0" collapsed="false">
      <c r="B5" s="193" t="s">
        <v>143</v>
      </c>
      <c r="C5" s="193"/>
      <c r="D5" s="194" t="n">
        <v>91677</v>
      </c>
      <c r="E5" s="194"/>
      <c r="F5" s="194"/>
      <c r="G5" s="194"/>
      <c r="H5" s="194"/>
      <c r="I5" s="194"/>
    </row>
    <row r="6" customFormat="false" ht="16.5" hidden="false" customHeight="true" outlineLevel="0" collapsed="false">
      <c r="B6" s="193" t="s">
        <v>120</v>
      </c>
      <c r="C6" s="193"/>
      <c r="D6" s="194" t="s">
        <v>189</v>
      </c>
      <c r="E6" s="194"/>
      <c r="F6" s="194"/>
      <c r="G6" s="194"/>
      <c r="H6" s="194"/>
      <c r="I6" s="194"/>
    </row>
    <row r="7" customFormat="false" ht="16.5" hidden="false" customHeight="true" outlineLevel="0" collapsed="false">
      <c r="B7" s="193" t="s">
        <v>146</v>
      </c>
      <c r="C7" s="193"/>
      <c r="D7" s="195" t="s">
        <v>147</v>
      </c>
      <c r="E7" s="195"/>
      <c r="F7" s="195"/>
      <c r="G7" s="195"/>
      <c r="H7" s="195"/>
      <c r="I7" s="195"/>
    </row>
    <row r="8" customFormat="false" ht="16.5" hidden="false" customHeight="true" outlineLevel="0" collapsed="false">
      <c r="B8" s="193" t="s">
        <v>148</v>
      </c>
      <c r="C8" s="193"/>
      <c r="D8" s="194" t="s">
        <v>172</v>
      </c>
      <c r="E8" s="194"/>
      <c r="F8" s="194"/>
      <c r="G8" s="194"/>
      <c r="H8" s="194"/>
      <c r="I8" s="194"/>
    </row>
    <row r="9" customFormat="false" ht="16.5" hidden="false" customHeight="true" outlineLevel="0" collapsed="false">
      <c r="B9" s="193" t="s">
        <v>150</v>
      </c>
      <c r="C9" s="193"/>
      <c r="D9" s="194" t="s">
        <v>190</v>
      </c>
      <c r="E9" s="194"/>
      <c r="F9" s="194"/>
      <c r="G9" s="194"/>
      <c r="H9" s="194"/>
      <c r="I9" s="194"/>
    </row>
    <row r="10" customFormat="false" ht="16.5" hidden="false" customHeight="true" outlineLevel="0" collapsed="false">
      <c r="B10" s="193" t="s">
        <v>121</v>
      </c>
      <c r="C10" s="193"/>
      <c r="D10" s="194" t="s">
        <v>159</v>
      </c>
      <c r="E10" s="194"/>
      <c r="F10" s="194"/>
      <c r="G10" s="194"/>
      <c r="H10" s="194"/>
      <c r="I10" s="194"/>
    </row>
    <row r="11" customFormat="false" ht="23.25" hidden="false" customHeight="true" outlineLevel="0" collapsed="false">
      <c r="B11" s="166" t="s">
        <v>152</v>
      </c>
      <c r="C11" s="166"/>
      <c r="D11" s="196" t="n">
        <f aca="false">SUM(I14:I19)</f>
        <v>126.971875</v>
      </c>
      <c r="E11" s="196"/>
      <c r="F11" s="196"/>
      <c r="G11" s="196"/>
      <c r="H11" s="196"/>
      <c r="I11" s="196"/>
    </row>
    <row r="12" customFormat="false" ht="15.75" hidden="false" customHeight="true" outlineLevel="0" collapsed="false">
      <c r="B12" s="170"/>
      <c r="C12" s="170"/>
      <c r="D12" s="171"/>
      <c r="E12" s="171"/>
      <c r="F12" s="171"/>
      <c r="G12" s="171"/>
      <c r="H12" s="171"/>
      <c r="I12" s="171"/>
    </row>
    <row r="13" customFormat="false" ht="45" hidden="false" customHeight="false" outlineLevel="0" collapsed="false">
      <c r="B13" s="172"/>
      <c r="C13" s="172" t="s">
        <v>153</v>
      </c>
      <c r="D13" s="172" t="s">
        <v>120</v>
      </c>
      <c r="E13" s="172" t="s">
        <v>150</v>
      </c>
      <c r="F13" s="172" t="s">
        <v>121</v>
      </c>
      <c r="G13" s="172" t="s">
        <v>154</v>
      </c>
      <c r="H13" s="172" t="s">
        <v>155</v>
      </c>
      <c r="I13" s="172" t="s">
        <v>152</v>
      </c>
    </row>
    <row r="14" customFormat="false" ht="19.5" hidden="false" customHeight="true" outlineLevel="0" collapsed="false">
      <c r="B14" s="173" t="s">
        <v>191</v>
      </c>
      <c r="C14" s="173" t="s">
        <v>192</v>
      </c>
      <c r="D14" s="173" t="s">
        <v>193</v>
      </c>
      <c r="E14" s="173" t="s">
        <v>194</v>
      </c>
      <c r="F14" s="173" t="s">
        <v>159</v>
      </c>
      <c r="G14" s="175" t="n">
        <v>3.84</v>
      </c>
      <c r="H14" s="175" t="n">
        <v>1</v>
      </c>
      <c r="I14" s="197" t="n">
        <f aca="false">G14*H14</f>
        <v>3.84</v>
      </c>
      <c r="J14" s="198"/>
      <c r="K14" s="198"/>
    </row>
    <row r="15" customFormat="false" ht="19.5" hidden="false" customHeight="true" outlineLevel="0" collapsed="false">
      <c r="B15" s="173" t="s">
        <v>191</v>
      </c>
      <c r="C15" s="173" t="s">
        <v>195</v>
      </c>
      <c r="D15" s="173" t="s">
        <v>174</v>
      </c>
      <c r="E15" s="173" t="s">
        <v>196</v>
      </c>
      <c r="F15" s="173" t="s">
        <v>159</v>
      </c>
      <c r="G15" s="175" t="n">
        <f aca="false">'Custo Eng. Eletricista'!C14</f>
        <v>121.201875</v>
      </c>
      <c r="H15" s="175" t="n">
        <v>1</v>
      </c>
      <c r="I15" s="197" t="n">
        <f aca="false">G15*H15</f>
        <v>121.201875</v>
      </c>
      <c r="J15" s="198"/>
      <c r="K15" s="198"/>
    </row>
    <row r="16" customFormat="false" ht="30" hidden="false" customHeight="true" outlineLevel="0" collapsed="false">
      <c r="B16" s="173" t="s">
        <v>191</v>
      </c>
      <c r="C16" s="173" t="s">
        <v>197</v>
      </c>
      <c r="D16" s="173" t="s">
        <v>198</v>
      </c>
      <c r="E16" s="173" t="s">
        <v>199</v>
      </c>
      <c r="F16" s="173" t="s">
        <v>159</v>
      </c>
      <c r="G16" s="175" t="s">
        <v>200</v>
      </c>
      <c r="H16" s="175" t="n">
        <v>1</v>
      </c>
      <c r="I16" s="197" t="n">
        <f aca="false">G16*H16</f>
        <v>1.14</v>
      </c>
      <c r="J16" s="198"/>
      <c r="K16" s="198"/>
    </row>
    <row r="17" customFormat="false" ht="30" hidden="false" customHeight="true" outlineLevel="0" collapsed="false">
      <c r="B17" s="173" t="s">
        <v>191</v>
      </c>
      <c r="C17" s="173" t="s">
        <v>201</v>
      </c>
      <c r="D17" s="173" t="s">
        <v>202</v>
      </c>
      <c r="E17" s="173" t="s">
        <v>203</v>
      </c>
      <c r="F17" s="173" t="s">
        <v>159</v>
      </c>
      <c r="G17" s="175" t="s">
        <v>204</v>
      </c>
      <c r="H17" s="175" t="n">
        <v>1</v>
      </c>
      <c r="I17" s="197" t="n">
        <f aca="false">G17*H17</f>
        <v>0.07</v>
      </c>
      <c r="J17" s="198"/>
      <c r="K17" s="198"/>
    </row>
    <row r="18" customFormat="false" ht="30" hidden="false" customHeight="true" outlineLevel="0" collapsed="false">
      <c r="B18" s="173" t="s">
        <v>191</v>
      </c>
      <c r="C18" s="173" t="s">
        <v>205</v>
      </c>
      <c r="D18" s="173" t="s">
        <v>206</v>
      </c>
      <c r="E18" s="173" t="s">
        <v>207</v>
      </c>
      <c r="F18" s="173" t="s">
        <v>159</v>
      </c>
      <c r="G18" s="175" t="s">
        <v>208</v>
      </c>
      <c r="H18" s="175" t="n">
        <v>1</v>
      </c>
      <c r="I18" s="197" t="n">
        <f aca="false">G18*H18</f>
        <v>0.01</v>
      </c>
      <c r="J18" s="198"/>
      <c r="K18" s="198"/>
    </row>
    <row r="19" customFormat="false" ht="30" hidden="false" customHeight="true" outlineLevel="0" collapsed="false">
      <c r="B19" s="173" t="s">
        <v>191</v>
      </c>
      <c r="C19" s="173" t="s">
        <v>209</v>
      </c>
      <c r="D19" s="173" t="s">
        <v>210</v>
      </c>
      <c r="E19" s="173" t="s">
        <v>207</v>
      </c>
      <c r="F19" s="173" t="s">
        <v>159</v>
      </c>
      <c r="G19" s="175" t="s">
        <v>211</v>
      </c>
      <c r="H19" s="175" t="n">
        <v>1</v>
      </c>
      <c r="I19" s="197" t="n">
        <f aca="false">G19*H19</f>
        <v>0.71</v>
      </c>
      <c r="J19" s="198"/>
      <c r="K19" s="198"/>
    </row>
    <row r="20" customFormat="false" ht="19.5" hidden="false" customHeight="tru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E25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ColWidth="10.125" defaultRowHeight="12.75" zeroHeight="false" outlineLevelRow="0" outlineLevelCol="0"/>
  <cols>
    <col collapsed="false" customWidth="true" hidden="false" outlineLevel="0" max="1" min="1" style="177" width="5.62"/>
    <col collapsed="false" customWidth="true" hidden="false" outlineLevel="0" max="2" min="2" style="177" width="47.25"/>
    <col collapsed="false" customWidth="true" hidden="false" outlineLevel="0" max="3" min="3" style="177" width="37.12"/>
    <col collapsed="false" customWidth="true" hidden="false" outlineLevel="0" max="4" min="4" style="177" width="29.88"/>
    <col collapsed="false" customWidth="true" hidden="false" outlineLevel="0" max="5" min="5" style="177" width="14.25"/>
  </cols>
  <sheetData>
    <row r="1" customFormat="false" ht="15" hidden="false" customHeight="true" outlineLevel="0" collapsed="false"/>
    <row r="2" customFormat="false" ht="13" hidden="false" customHeight="false" outlineLevel="0" collapsed="false">
      <c r="C2" s="199" t="s">
        <v>172</v>
      </c>
    </row>
    <row r="3" customFormat="false" ht="12.8" hidden="false" customHeight="false" outlineLevel="0" collapsed="false">
      <c r="B3" s="179" t="s">
        <v>212</v>
      </c>
      <c r="C3" s="199" t="s">
        <v>213</v>
      </c>
    </row>
    <row r="4" customFormat="false" ht="12.8" hidden="false" customHeight="false" outlineLevel="0" collapsed="false">
      <c r="B4" s="179" t="s">
        <v>214</v>
      </c>
      <c r="C4" s="180" t="s">
        <v>215</v>
      </c>
    </row>
    <row r="5" customFormat="false" ht="12.8" hidden="false" customHeight="false" outlineLevel="0" collapsed="false">
      <c r="B5" s="179" t="s">
        <v>177</v>
      </c>
      <c r="C5" s="200" t="n">
        <v>45047</v>
      </c>
    </row>
    <row r="6" customFormat="false" ht="23.3" hidden="false" customHeight="false" outlineLevel="0" collapsed="false">
      <c r="B6" s="179" t="s">
        <v>216</v>
      </c>
      <c r="C6" s="180" t="s">
        <v>217</v>
      </c>
    </row>
    <row r="7" customFormat="false" ht="12.8" hidden="false" customHeight="false" outlineLevel="0" collapsed="false">
      <c r="B7" s="179" t="s">
        <v>218</v>
      </c>
      <c r="C7" s="201" t="n">
        <v>2760</v>
      </c>
    </row>
    <row r="8" customFormat="false" ht="12.75" hidden="false" customHeight="false" outlineLevel="0" collapsed="false">
      <c r="B8" s="202"/>
      <c r="C8" s="203"/>
    </row>
    <row r="9" customFormat="false" ht="23.3" hidden="false" customHeight="false" outlineLevel="0" collapsed="false">
      <c r="B9" s="204" t="s">
        <v>219</v>
      </c>
      <c r="C9" s="179"/>
    </row>
    <row r="10" customFormat="false" ht="12.8" hidden="false" customHeight="false" outlineLevel="0" collapsed="false">
      <c r="B10" s="179" t="s">
        <v>181</v>
      </c>
      <c r="C10" s="205" t="n">
        <v>0.8549</v>
      </c>
    </row>
    <row r="11" customFormat="false" ht="12.8" hidden="false" customHeight="false" outlineLevel="0" collapsed="false">
      <c r="B11" s="179" t="s">
        <v>220</v>
      </c>
      <c r="C11" s="205" t="n">
        <v>0.4784</v>
      </c>
    </row>
    <row r="12" customFormat="false" ht="12.8" hidden="false" customHeight="false" outlineLevel="0" collapsed="false">
      <c r="B12" s="179" t="s">
        <v>182</v>
      </c>
      <c r="C12" s="205" t="n">
        <v>1.1547</v>
      </c>
    </row>
    <row r="13" customFormat="false" ht="12.8" hidden="false" customHeight="false" outlineLevel="0" collapsed="false">
      <c r="B13" s="179" t="s">
        <v>221</v>
      </c>
      <c r="C13" s="205" t="n">
        <v>0.718</v>
      </c>
    </row>
    <row r="14" customFormat="false" ht="13.5" hidden="false" customHeight="true" outlineLevel="0" collapsed="false">
      <c r="B14" s="202"/>
      <c r="C14" s="202"/>
    </row>
    <row r="15" customFormat="false" ht="12.75" hidden="false" customHeight="false" outlineLevel="0" collapsed="false">
      <c r="B15" s="187" t="s">
        <v>222</v>
      </c>
      <c r="C15" s="188"/>
    </row>
    <row r="16" customFormat="false" ht="15.75" hidden="false" customHeight="false" outlineLevel="0" collapsed="false">
      <c r="B16" s="206" t="s">
        <v>223</v>
      </c>
      <c r="C16" s="188" t="n">
        <f aca="false">C7*(1+C11)</f>
        <v>4080.384</v>
      </c>
      <c r="D16" s="207"/>
      <c r="E16" s="207"/>
    </row>
    <row r="17" customFormat="false" ht="15.75" hidden="false" customHeight="false" outlineLevel="0" collapsed="false">
      <c r="B17" s="206" t="s">
        <v>224</v>
      </c>
      <c r="C17" s="188" t="n">
        <f aca="false">C7*(1+C13)</f>
        <v>4741.68</v>
      </c>
      <c r="D17" s="207"/>
      <c r="E17" s="207"/>
    </row>
    <row r="18" customFormat="false" ht="15.75" hidden="false" customHeight="false" outlineLevel="0" collapsed="false">
      <c r="B18" s="206" t="s">
        <v>225</v>
      </c>
      <c r="C18" s="208" t="n">
        <f aca="false">C16*(1+C10)/(220*(1+C11))</f>
        <v>23.2705636363636</v>
      </c>
      <c r="D18" s="209"/>
      <c r="E18" s="207"/>
    </row>
    <row r="19" customFormat="false" ht="15.75" hidden="false" customHeight="false" outlineLevel="0" collapsed="false">
      <c r="B19" s="206" t="s">
        <v>226</v>
      </c>
      <c r="C19" s="208" t="n">
        <f aca="false">(C17*(1+C12)/(220*(1+C13)))</f>
        <v>27.0316909090909</v>
      </c>
      <c r="D19" s="209"/>
      <c r="E19" s="207"/>
    </row>
    <row r="21" customFormat="false" ht="12.75" hidden="false" customHeight="false" outlineLevel="0" collapsed="false">
      <c r="B21" s="177" t="s">
        <v>227</v>
      </c>
    </row>
    <row r="22" customFormat="false" ht="48.85" hidden="false" customHeight="true" outlineLevel="0" collapsed="false"/>
    <row r="23" customFormat="false" ht="34.5" hidden="false" customHeight="true" outlineLevel="0" collapsed="false">
      <c r="B23" s="192" t="s">
        <v>228</v>
      </c>
      <c r="C23" s="192"/>
    </row>
    <row r="24" customFormat="false" ht="33.75" hidden="false" customHeight="true" outlineLevel="0" collapsed="false">
      <c r="B24" s="192" t="s">
        <v>229</v>
      </c>
      <c r="C24" s="192"/>
    </row>
    <row r="25" customFormat="false" ht="30" hidden="false" customHeight="true" outlineLevel="0" collapsed="false">
      <c r="B25" s="192" t="s">
        <v>230</v>
      </c>
      <c r="C25" s="192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K22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G13" activeCellId="0" sqref="G13"/>
    </sheetView>
  </sheetViews>
  <sheetFormatPr defaultColWidth="8.125" defaultRowHeight="12.75" zeroHeight="false" outlineLevelRow="0" outlineLevelCol="0"/>
  <cols>
    <col collapsed="false" customWidth="true" hidden="false" outlineLevel="0" max="1" min="1" style="210" width="5.62"/>
    <col collapsed="false" customWidth="true" hidden="false" outlineLevel="0" max="2" min="2" style="210" width="2.88"/>
    <col collapsed="false" customWidth="true" hidden="false" outlineLevel="0" max="3" min="3" style="210" width="11.75"/>
    <col collapsed="false" customWidth="true" hidden="false" outlineLevel="0" max="4" min="4" style="210" width="57.75"/>
    <col collapsed="false" customWidth="true" hidden="false" outlineLevel="0" max="5" min="5" style="210" width="28.88"/>
    <col collapsed="false" customWidth="true" hidden="false" outlineLevel="0" max="6" min="6" style="210" width="9.62"/>
    <col collapsed="false" customWidth="true" hidden="false" outlineLevel="0" max="7" min="7" style="210" width="13.25"/>
    <col collapsed="false" customWidth="true" hidden="false" outlineLevel="0" max="8" min="8" style="210" width="11.5"/>
    <col collapsed="false" customWidth="true" hidden="false" outlineLevel="0" max="9" min="9" style="210" width="13.5"/>
    <col collapsed="false" customWidth="true" hidden="false" outlineLevel="0" max="1026" min="10" style="210" width="8.2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11" t="s">
        <v>231</v>
      </c>
      <c r="C2" s="211"/>
      <c r="D2" s="211"/>
      <c r="E2" s="211"/>
      <c r="F2" s="211"/>
      <c r="G2" s="211"/>
      <c r="H2" s="211"/>
      <c r="I2" s="211"/>
    </row>
    <row r="3" customFormat="false" ht="21" hidden="false" customHeight="true" outlineLevel="0" collapsed="false"/>
    <row r="4" customFormat="false" ht="16.5" hidden="false" customHeight="true" outlineLevel="0" collapsed="false">
      <c r="B4" s="212" t="s">
        <v>232</v>
      </c>
      <c r="C4" s="212"/>
      <c r="D4" s="212"/>
      <c r="E4" s="212"/>
      <c r="F4" s="212"/>
      <c r="G4" s="212"/>
      <c r="H4" s="212"/>
      <c r="I4" s="212"/>
    </row>
    <row r="5" customFormat="false" ht="16.5" hidden="false" customHeight="true" outlineLevel="0" collapsed="false">
      <c r="B5" s="213" t="s">
        <v>143</v>
      </c>
      <c r="C5" s="213"/>
      <c r="D5" s="214" t="n">
        <v>88264</v>
      </c>
      <c r="E5" s="214"/>
      <c r="F5" s="214"/>
      <c r="G5" s="214"/>
      <c r="H5" s="214"/>
      <c r="I5" s="214"/>
    </row>
    <row r="6" customFormat="false" ht="16.5" hidden="false" customHeight="true" outlineLevel="0" collapsed="false">
      <c r="B6" s="213" t="s">
        <v>120</v>
      </c>
      <c r="C6" s="213"/>
      <c r="D6" s="214" t="s">
        <v>233</v>
      </c>
      <c r="E6" s="214"/>
      <c r="F6" s="214"/>
      <c r="G6" s="214"/>
      <c r="H6" s="214"/>
      <c r="I6" s="214"/>
    </row>
    <row r="7" customFormat="false" ht="16.5" hidden="false" customHeight="true" outlineLevel="0" collapsed="false">
      <c r="B7" s="213" t="s">
        <v>146</v>
      </c>
      <c r="C7" s="213"/>
      <c r="D7" s="215" t="s">
        <v>147</v>
      </c>
      <c r="E7" s="215"/>
      <c r="F7" s="215"/>
      <c r="G7" s="215"/>
      <c r="H7" s="215"/>
      <c r="I7" s="215"/>
    </row>
    <row r="8" customFormat="false" ht="16.5" hidden="false" customHeight="true" outlineLevel="0" collapsed="false">
      <c r="B8" s="213" t="s">
        <v>148</v>
      </c>
      <c r="C8" s="213"/>
      <c r="D8" s="214" t="s">
        <v>172</v>
      </c>
      <c r="E8" s="214"/>
      <c r="F8" s="214"/>
      <c r="G8" s="214"/>
      <c r="H8" s="214"/>
      <c r="I8" s="214"/>
    </row>
    <row r="9" customFormat="false" ht="16.5" hidden="false" customHeight="true" outlineLevel="0" collapsed="false">
      <c r="B9" s="213" t="s">
        <v>150</v>
      </c>
      <c r="C9" s="213"/>
      <c r="D9" s="214" t="s">
        <v>190</v>
      </c>
      <c r="E9" s="214"/>
      <c r="F9" s="214"/>
      <c r="G9" s="214"/>
      <c r="H9" s="214"/>
      <c r="I9" s="214"/>
    </row>
    <row r="10" customFormat="false" ht="16.5" hidden="false" customHeight="true" outlineLevel="0" collapsed="false">
      <c r="B10" s="213" t="s">
        <v>121</v>
      </c>
      <c r="C10" s="213"/>
      <c r="D10" s="214" t="s">
        <v>159</v>
      </c>
      <c r="E10" s="214"/>
      <c r="F10" s="214"/>
      <c r="G10" s="214"/>
      <c r="H10" s="214"/>
      <c r="I10" s="214"/>
    </row>
    <row r="11" customFormat="false" ht="23.25" hidden="false" customHeight="true" outlineLevel="0" collapsed="false">
      <c r="B11" s="216" t="s">
        <v>152</v>
      </c>
      <c r="C11" s="216"/>
      <c r="D11" s="217" t="n">
        <f aca="false">SUM(I14:I22)</f>
        <v>32.38</v>
      </c>
      <c r="E11" s="217"/>
      <c r="F11" s="217"/>
      <c r="G11" s="217"/>
      <c r="H11" s="217"/>
      <c r="I11" s="217"/>
    </row>
    <row r="12" customFormat="false" ht="15.75" hidden="false" customHeight="true" outlineLevel="0" collapsed="false">
      <c r="B12" s="218"/>
      <c r="C12" s="218"/>
      <c r="D12" s="219"/>
      <c r="E12" s="219"/>
      <c r="F12" s="219"/>
      <c r="G12" s="219"/>
      <c r="H12" s="219"/>
      <c r="I12" s="219"/>
    </row>
    <row r="13" customFormat="false" ht="39.5" hidden="false" customHeight="false" outlineLevel="0" collapsed="false">
      <c r="B13" s="220"/>
      <c r="C13" s="220" t="s">
        <v>153</v>
      </c>
      <c r="D13" s="220" t="s">
        <v>120</v>
      </c>
      <c r="E13" s="220" t="s">
        <v>150</v>
      </c>
      <c r="F13" s="220" t="s">
        <v>121</v>
      </c>
      <c r="G13" s="220" t="s">
        <v>154</v>
      </c>
      <c r="H13" s="220" t="s">
        <v>155</v>
      </c>
      <c r="I13" s="220" t="s">
        <v>152</v>
      </c>
    </row>
    <row r="14" customFormat="false" ht="27.75" hidden="false" customHeight="true" outlineLevel="0" collapsed="false">
      <c r="B14" s="221" t="s">
        <v>156</v>
      </c>
      <c r="C14" s="221" t="n">
        <v>95332</v>
      </c>
      <c r="D14" s="221" t="s">
        <v>234</v>
      </c>
      <c r="E14" s="221" t="s">
        <v>190</v>
      </c>
      <c r="F14" s="221" t="s">
        <v>159</v>
      </c>
      <c r="G14" s="173" t="n">
        <v>1.26</v>
      </c>
      <c r="H14" s="222" t="n">
        <v>1</v>
      </c>
      <c r="I14" s="223" t="n">
        <f aca="false">G14*H14</f>
        <v>1.26</v>
      </c>
      <c r="J14" s="224"/>
      <c r="K14" s="224"/>
    </row>
    <row r="15" customFormat="false" ht="32.25" hidden="false" customHeight="true" outlineLevel="0" collapsed="false">
      <c r="B15" s="221" t="s">
        <v>191</v>
      </c>
      <c r="C15" s="221" t="s">
        <v>235</v>
      </c>
      <c r="D15" s="221" t="s">
        <v>236</v>
      </c>
      <c r="E15" s="221" t="s">
        <v>196</v>
      </c>
      <c r="F15" s="221" t="s">
        <v>159</v>
      </c>
      <c r="G15" s="173" t="n">
        <v>27.03</v>
      </c>
      <c r="H15" s="222" t="n">
        <v>1</v>
      </c>
      <c r="I15" s="223" t="n">
        <f aca="false">G15*H15</f>
        <v>27.03</v>
      </c>
      <c r="J15" s="224"/>
      <c r="K15" s="224"/>
    </row>
    <row r="16" customFormat="false" ht="42" hidden="false" customHeight="true" outlineLevel="0" collapsed="false">
      <c r="B16" s="221" t="s">
        <v>191</v>
      </c>
      <c r="C16" s="221" t="n">
        <v>37370</v>
      </c>
      <c r="D16" s="221" t="s">
        <v>237</v>
      </c>
      <c r="E16" s="221" t="s">
        <v>199</v>
      </c>
      <c r="F16" s="221" t="s">
        <v>159</v>
      </c>
      <c r="G16" s="173" t="n">
        <v>0.01</v>
      </c>
      <c r="H16" s="222" t="n">
        <v>1</v>
      </c>
      <c r="I16" s="223" t="n">
        <f aca="false">G16*H16</f>
        <v>0.01</v>
      </c>
      <c r="J16" s="224"/>
      <c r="K16" s="224"/>
    </row>
    <row r="17" customFormat="false" ht="27.75" hidden="false" customHeight="true" outlineLevel="0" collapsed="false">
      <c r="B17" s="221" t="s">
        <v>191</v>
      </c>
      <c r="C17" s="221" t="n">
        <v>37371</v>
      </c>
      <c r="D17" s="221" t="s">
        <v>238</v>
      </c>
      <c r="E17" s="221" t="s">
        <v>239</v>
      </c>
      <c r="F17" s="221" t="s">
        <v>159</v>
      </c>
      <c r="G17" s="173" t="n">
        <v>0.55</v>
      </c>
      <c r="H17" s="222" t="n">
        <v>1</v>
      </c>
      <c r="I17" s="223" t="n">
        <f aca="false">G17*H17</f>
        <v>0.55</v>
      </c>
      <c r="J17" s="224"/>
      <c r="K17" s="224"/>
    </row>
    <row r="18" customFormat="false" ht="42" hidden="false" customHeight="true" outlineLevel="0" collapsed="false">
      <c r="B18" s="221" t="s">
        <v>191</v>
      </c>
      <c r="C18" s="221" t="n">
        <v>37372</v>
      </c>
      <c r="D18" s="221" t="s">
        <v>198</v>
      </c>
      <c r="E18" s="221" t="s">
        <v>199</v>
      </c>
      <c r="F18" s="221" t="s">
        <v>159</v>
      </c>
      <c r="G18" s="173" t="n">
        <v>1.14</v>
      </c>
      <c r="H18" s="222" t="n">
        <v>1</v>
      </c>
      <c r="I18" s="223" t="n">
        <f aca="false">G18*H18</f>
        <v>1.14</v>
      </c>
      <c r="J18" s="224"/>
      <c r="K18" s="224"/>
    </row>
    <row r="19" customFormat="false" ht="27.75" hidden="false" customHeight="true" outlineLevel="0" collapsed="false">
      <c r="B19" s="221" t="s">
        <v>191</v>
      </c>
      <c r="C19" s="221" t="n">
        <v>37373</v>
      </c>
      <c r="D19" s="221" t="s">
        <v>202</v>
      </c>
      <c r="E19" s="221" t="s">
        <v>203</v>
      </c>
      <c r="F19" s="221" t="s">
        <v>159</v>
      </c>
      <c r="G19" s="173" t="n">
        <v>0.07</v>
      </c>
      <c r="H19" s="222" t="n">
        <v>1</v>
      </c>
      <c r="I19" s="223" t="n">
        <f aca="false">G19*H19</f>
        <v>0.07</v>
      </c>
      <c r="J19" s="224"/>
      <c r="K19" s="224"/>
    </row>
    <row r="20" customFormat="false" ht="27.75" hidden="false" customHeight="true" outlineLevel="0" collapsed="false">
      <c r="B20" s="221" t="s">
        <v>191</v>
      </c>
      <c r="C20" s="221" t="n">
        <v>43460</v>
      </c>
      <c r="D20" s="221" t="s">
        <v>240</v>
      </c>
      <c r="E20" s="221" t="s">
        <v>207</v>
      </c>
      <c r="F20" s="221" t="s">
        <v>159</v>
      </c>
      <c r="G20" s="173" t="n">
        <v>0.86</v>
      </c>
      <c r="H20" s="222" t="n">
        <v>1</v>
      </c>
      <c r="I20" s="223" t="n">
        <f aca="false">G20*H20</f>
        <v>0.86</v>
      </c>
      <c r="J20" s="224"/>
      <c r="K20" s="224"/>
    </row>
    <row r="21" customFormat="false" ht="29.25" hidden="false" customHeight="true" outlineLevel="0" collapsed="false">
      <c r="B21" s="225" t="s">
        <v>191</v>
      </c>
      <c r="C21" s="225" t="n">
        <v>43461</v>
      </c>
      <c r="D21" s="225" t="s">
        <v>241</v>
      </c>
      <c r="E21" s="225" t="s">
        <v>207</v>
      </c>
      <c r="F21" s="225" t="s">
        <v>159</v>
      </c>
      <c r="G21" s="226" t="n">
        <v>0.32</v>
      </c>
      <c r="H21" s="227" t="n">
        <v>1</v>
      </c>
      <c r="I21" s="228" t="n">
        <f aca="false">G21*H21</f>
        <v>0.32</v>
      </c>
      <c r="J21" s="224"/>
      <c r="K21" s="224"/>
    </row>
    <row r="22" customFormat="false" ht="27.75" hidden="false" customHeight="true" outlineLevel="0" collapsed="false">
      <c r="B22" s="221" t="s">
        <v>191</v>
      </c>
      <c r="C22" s="221" t="n">
        <v>43484</v>
      </c>
      <c r="D22" s="221" t="s">
        <v>242</v>
      </c>
      <c r="E22" s="221" t="s">
        <v>207</v>
      </c>
      <c r="F22" s="221" t="s">
        <v>159</v>
      </c>
      <c r="G22" s="173" t="n">
        <v>1.14</v>
      </c>
      <c r="H22" s="222" t="n">
        <v>1</v>
      </c>
      <c r="I22" s="223" t="n">
        <f aca="false">G22*H22</f>
        <v>1.14</v>
      </c>
      <c r="J22" s="224"/>
      <c r="K22" s="224"/>
    </row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N24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B18" activeCellId="0" sqref="B18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15.5"/>
    <col collapsed="false" customWidth="true" hidden="false" outlineLevel="0" max="3" min="3" style="17" width="16.26"/>
    <col collapsed="false" customWidth="true" hidden="false" outlineLevel="0" max="4" min="4" style="16" width="31.88"/>
    <col collapsed="false" customWidth="true" hidden="false" outlineLevel="0" max="5" min="5" style="16" width="36.88"/>
    <col collapsed="false" customWidth="true" hidden="false" outlineLevel="0" max="6" min="6" style="17" width="15.26"/>
    <col collapsed="false" customWidth="true" hidden="false" outlineLevel="0" max="7" min="7" style="16" width="9"/>
    <col collapsed="false" customWidth="true" hidden="false" outlineLevel="0" max="8" min="8" style="16" width="9.12"/>
    <col collapsed="false" customWidth="true" hidden="false" outlineLevel="0" max="9" min="9" style="16" width="12"/>
    <col collapsed="false" customWidth="true" hidden="false" outlineLevel="0" max="11" min="10" style="16" width="11.25"/>
    <col collapsed="false" customWidth="true" hidden="false" outlineLevel="0" max="12" min="12" style="16" width="10.38"/>
    <col collapsed="false" customWidth="true" hidden="false" outlineLevel="0" max="13" min="13" style="16" width="10.5"/>
    <col collapsed="false" customWidth="true" hidden="false" outlineLevel="0" max="14" min="14" style="16" width="12.5"/>
    <col collapsed="false" customWidth="true" hidden="false" outlineLevel="0" max="259" min="15" style="16" width="10.5"/>
    <col collapsed="false" customWidth="true" hidden="false" outlineLevel="0" max="1024" min="260" style="1" width="10.38"/>
  </cols>
  <sheetData>
    <row r="1" customFormat="false" ht="15" hidden="false" customHeight="true" outlineLevel="0" collapsed="false"/>
    <row r="2" s="229" customFormat="true" ht="29.25" hidden="false" customHeight="true" outlineLevel="0" collapsed="false">
      <c r="B2" s="230" t="str">
        <f aca="false">"RELAÇÃO DE UNIDADES DO "&amp;'Valor da Contratação'!B7&amp;""</f>
        <v>RELAÇÃO DE UNIDADES DO POLO IV</v>
      </c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</row>
    <row r="3" s="16" customFormat="true" ht="15" hidden="false" customHeight="true" outlineLevel="0" collapsed="false"/>
    <row r="4" customFormat="false" ht="66.75" hidden="false" customHeight="true" outlineLevel="0" collapsed="false">
      <c r="B4" s="32" t="s">
        <v>243</v>
      </c>
      <c r="C4" s="32" t="s">
        <v>13</v>
      </c>
      <c r="D4" s="32" t="s">
        <v>41</v>
      </c>
      <c r="E4" s="32" t="s">
        <v>244</v>
      </c>
      <c r="F4" s="32" t="s">
        <v>245</v>
      </c>
      <c r="G4" s="32" t="s">
        <v>246</v>
      </c>
      <c r="H4" s="32" t="s">
        <v>71</v>
      </c>
      <c r="I4" s="32" t="s">
        <v>247</v>
      </c>
      <c r="J4" s="32" t="s">
        <v>248</v>
      </c>
      <c r="K4" s="32" t="s">
        <v>249</v>
      </c>
      <c r="L4" s="32" t="s">
        <v>250</v>
      </c>
      <c r="M4" s="32" t="s">
        <v>251</v>
      </c>
      <c r="N4" s="32" t="s">
        <v>252</v>
      </c>
    </row>
    <row r="5" customFormat="false" ht="18" hidden="false" customHeight="true" outlineLevel="0" collapsed="false">
      <c r="B5" s="231" t="s">
        <v>21</v>
      </c>
      <c r="C5" s="231" t="s">
        <v>21</v>
      </c>
      <c r="D5" s="64" t="s">
        <v>81</v>
      </c>
      <c r="E5" s="232" t="s">
        <v>253</v>
      </c>
      <c r="F5" s="66" t="n">
        <f aca="false">58*2/60</f>
        <v>1.93333333333333</v>
      </c>
      <c r="G5" s="233" t="n">
        <v>0.03</v>
      </c>
      <c r="H5" s="233" t="n">
        <f aca="false">HLOOKUP(G5,BDI!$C$19:$J$30,12,)</f>
        <v>0.2354</v>
      </c>
      <c r="I5" s="234" t="n">
        <v>557.17</v>
      </c>
      <c r="J5" s="234" t="n">
        <v>516.32</v>
      </c>
      <c r="K5" s="234" t="n">
        <v>40.85</v>
      </c>
      <c r="L5" s="234" t="n">
        <v>0</v>
      </c>
      <c r="M5" s="234" t="s">
        <v>254</v>
      </c>
      <c r="N5" s="234" t="s">
        <v>255</v>
      </c>
    </row>
    <row r="6" customFormat="false" ht="18" hidden="false" customHeight="true" outlineLevel="0" collapsed="false">
      <c r="B6" s="231" t="s">
        <v>21</v>
      </c>
      <c r="C6" s="231" t="s">
        <v>21</v>
      </c>
      <c r="D6" s="64" t="s">
        <v>83</v>
      </c>
      <c r="E6" s="232" t="s">
        <v>256</v>
      </c>
      <c r="F6" s="66" t="n">
        <f aca="false">52*2/60</f>
        <v>1.73333333333333</v>
      </c>
      <c r="G6" s="233" t="n">
        <v>0.03</v>
      </c>
      <c r="H6" s="233" t="n">
        <f aca="false">HLOOKUP(G6,BDI!$C$19:$J$30,12,)</f>
        <v>0.2354</v>
      </c>
      <c r="I6" s="234" t="n">
        <v>1027.72</v>
      </c>
      <c r="J6" s="234" t="n">
        <v>807.3</v>
      </c>
      <c r="K6" s="234" t="n">
        <v>220.42</v>
      </c>
      <c r="L6" s="234" t="n">
        <v>0</v>
      </c>
      <c r="M6" s="234" t="s">
        <v>254</v>
      </c>
      <c r="N6" s="234" t="s">
        <v>255</v>
      </c>
    </row>
    <row r="7" customFormat="false" ht="18" hidden="false" customHeight="true" outlineLevel="0" collapsed="false">
      <c r="B7" s="231" t="s">
        <v>21</v>
      </c>
      <c r="C7" s="231" t="s">
        <v>21</v>
      </c>
      <c r="D7" s="64" t="s">
        <v>85</v>
      </c>
      <c r="E7" s="235" t="s">
        <v>257</v>
      </c>
      <c r="F7" s="66" t="n">
        <f aca="false">71*2/60</f>
        <v>2.36666666666667</v>
      </c>
      <c r="G7" s="233" t="n">
        <v>0.04</v>
      </c>
      <c r="H7" s="233" t="n">
        <f aca="false">HLOOKUP(G7,BDI!$C$19:$J$30,12,)</f>
        <v>0.2487</v>
      </c>
      <c r="I7" s="234" t="n">
        <v>963</v>
      </c>
      <c r="J7" s="234" t="n">
        <v>463</v>
      </c>
      <c r="K7" s="234" t="n">
        <v>94</v>
      </c>
      <c r="L7" s="234" t="n">
        <v>406</v>
      </c>
      <c r="M7" s="234" t="s">
        <v>255</v>
      </c>
      <c r="N7" s="234" t="s">
        <v>254</v>
      </c>
    </row>
    <row r="8" customFormat="false" ht="18" hidden="false" customHeight="true" outlineLevel="0" collapsed="false">
      <c r="B8" s="231" t="s">
        <v>21</v>
      </c>
      <c r="C8" s="231" t="s">
        <v>21</v>
      </c>
      <c r="D8" s="64" t="s">
        <v>86</v>
      </c>
      <c r="E8" s="235" t="s">
        <v>258</v>
      </c>
      <c r="F8" s="66" t="n">
        <f aca="false">33*2/60</f>
        <v>1.1</v>
      </c>
      <c r="G8" s="233" t="n">
        <v>0.03</v>
      </c>
      <c r="H8" s="233" t="n">
        <f aca="false">HLOOKUP(G8,BDI!$C$19:$J$30,12,)</f>
        <v>0.2354</v>
      </c>
      <c r="I8" s="234" t="n">
        <v>204.1</v>
      </c>
      <c r="J8" s="234" t="n">
        <v>137.18</v>
      </c>
      <c r="K8" s="234" t="n">
        <v>66.92</v>
      </c>
      <c r="L8" s="234" t="n">
        <v>0</v>
      </c>
      <c r="M8" s="234" t="s">
        <v>255</v>
      </c>
      <c r="N8" s="234" t="s">
        <v>255</v>
      </c>
    </row>
    <row r="9" customFormat="false" ht="18" hidden="false" customHeight="true" outlineLevel="0" collapsed="false">
      <c r="B9" s="231" t="s">
        <v>21</v>
      </c>
      <c r="C9" s="231" t="s">
        <v>21</v>
      </c>
      <c r="D9" s="64" t="s">
        <v>87</v>
      </c>
      <c r="E9" s="232" t="s">
        <v>259</v>
      </c>
      <c r="F9" s="66" t="n">
        <f aca="false">59*2/60</f>
        <v>1.96666666666667</v>
      </c>
      <c r="G9" s="233" t="n">
        <v>0.02</v>
      </c>
      <c r="H9" s="233" t="n">
        <f aca="false">HLOOKUP(G9,BDI!$C$19:$J$30,12,)</f>
        <v>0.2223</v>
      </c>
      <c r="I9" s="234" t="n">
        <v>3189</v>
      </c>
      <c r="J9" s="234" t="n">
        <v>1510.13</v>
      </c>
      <c r="K9" s="234" t="n">
        <v>678.42</v>
      </c>
      <c r="L9" s="234" t="n">
        <v>1000.45</v>
      </c>
      <c r="M9" s="234" t="s">
        <v>255</v>
      </c>
      <c r="N9" s="234" t="s">
        <v>254</v>
      </c>
    </row>
    <row r="10" customFormat="false" ht="18" hidden="false" customHeight="true" outlineLevel="0" collapsed="false">
      <c r="B10" s="231" t="s">
        <v>21</v>
      </c>
      <c r="C10" s="231" t="s">
        <v>21</v>
      </c>
      <c r="D10" s="64" t="s">
        <v>89</v>
      </c>
      <c r="E10" s="232" t="s">
        <v>260</v>
      </c>
      <c r="F10" s="66" t="n">
        <f aca="false">53*2/60</f>
        <v>1.76666666666667</v>
      </c>
      <c r="G10" s="233" t="n">
        <v>0.02</v>
      </c>
      <c r="H10" s="233" t="n">
        <f aca="false">HLOOKUP(G10,BDI!$C$19:$J$30,12,)</f>
        <v>0.2223</v>
      </c>
      <c r="I10" s="234" t="n">
        <v>334.4</v>
      </c>
      <c r="J10" s="234" t="n">
        <v>296</v>
      </c>
      <c r="K10" s="234" t="n">
        <v>38.4</v>
      </c>
      <c r="L10" s="234" t="n">
        <v>0</v>
      </c>
      <c r="M10" s="234" t="s">
        <v>255</v>
      </c>
      <c r="N10" s="234" t="s">
        <v>255</v>
      </c>
    </row>
    <row r="11" customFormat="false" ht="18" hidden="false" customHeight="true" outlineLevel="0" collapsed="false">
      <c r="B11" s="231" t="s">
        <v>21</v>
      </c>
      <c r="C11" s="231" t="s">
        <v>21</v>
      </c>
      <c r="D11" s="64" t="s">
        <v>90</v>
      </c>
      <c r="E11" s="232" t="s">
        <v>261</v>
      </c>
      <c r="F11" s="66" t="n">
        <f aca="false">76/60</f>
        <v>1.26666666666667</v>
      </c>
      <c r="G11" s="233" t="n">
        <v>0.035</v>
      </c>
      <c r="H11" s="233" t="n">
        <f aca="false">HLOOKUP(G11,BDI!$C$19:$J$30,12,)</f>
        <v>0.242</v>
      </c>
      <c r="I11" s="234" t="n">
        <v>334.4</v>
      </c>
      <c r="J11" s="234" t="n">
        <v>296</v>
      </c>
      <c r="K11" s="234" t="n">
        <v>38.4</v>
      </c>
      <c r="L11" s="234" t="n">
        <v>0</v>
      </c>
      <c r="M11" s="234" t="s">
        <v>255</v>
      </c>
      <c r="N11" s="234" t="s">
        <v>255</v>
      </c>
    </row>
    <row r="12" customFormat="false" ht="18" hidden="false" customHeight="true" outlineLevel="0" collapsed="false">
      <c r="B12" s="231" t="s">
        <v>21</v>
      </c>
      <c r="C12" s="231" t="s">
        <v>21</v>
      </c>
      <c r="D12" s="64" t="s">
        <v>92</v>
      </c>
      <c r="E12" s="232" t="s">
        <v>262</v>
      </c>
      <c r="F12" s="66" t="n">
        <f aca="false">102*2/60</f>
        <v>3.4</v>
      </c>
      <c r="G12" s="233" t="n">
        <v>0.02</v>
      </c>
      <c r="H12" s="233" t="n">
        <f aca="false">HLOOKUP(G12,BDI!$C$19:$J$30,12,)</f>
        <v>0.2223</v>
      </c>
      <c r="I12" s="234" t="n">
        <v>2048</v>
      </c>
      <c r="J12" s="234" t="n">
        <v>1174.52</v>
      </c>
      <c r="K12" s="234" t="n">
        <v>810</v>
      </c>
      <c r="L12" s="234" t="n">
        <v>63.48</v>
      </c>
      <c r="M12" s="234" t="s">
        <v>255</v>
      </c>
      <c r="N12" s="234" t="s">
        <v>254</v>
      </c>
    </row>
    <row r="13" customFormat="false" ht="18" hidden="false" customHeight="true" outlineLevel="0" collapsed="false">
      <c r="B13" s="231" t="s">
        <v>21</v>
      </c>
      <c r="C13" s="231" t="s">
        <v>21</v>
      </c>
      <c r="D13" s="64" t="s">
        <v>94</v>
      </c>
      <c r="E13" s="232" t="s">
        <v>263</v>
      </c>
      <c r="F13" s="66" t="n">
        <f aca="false">37*2/60</f>
        <v>1.23333333333333</v>
      </c>
      <c r="G13" s="233" t="n">
        <v>0.035</v>
      </c>
      <c r="H13" s="233" t="n">
        <f aca="false">HLOOKUP(G13,BDI!$C$19:$J$30,12,)</f>
        <v>0.242</v>
      </c>
      <c r="I13" s="234" t="n">
        <v>964.83</v>
      </c>
      <c r="J13" s="234" t="n">
        <v>546.27</v>
      </c>
      <c r="K13" s="234" t="n">
        <v>223.33</v>
      </c>
      <c r="L13" s="234" t="n">
        <v>195.23</v>
      </c>
      <c r="M13" s="234" t="s">
        <v>255</v>
      </c>
      <c r="N13" s="234" t="s">
        <v>255</v>
      </c>
    </row>
    <row r="14" customFormat="false" ht="18" hidden="false" customHeight="true" outlineLevel="0" collapsed="false">
      <c r="B14" s="231" t="s">
        <v>21</v>
      </c>
      <c r="C14" s="231" t="s">
        <v>21</v>
      </c>
      <c r="D14" s="64" t="s">
        <v>96</v>
      </c>
      <c r="E14" s="232" t="s">
        <v>264</v>
      </c>
      <c r="F14" s="66" t="n">
        <f aca="false">8/60</f>
        <v>0.133333333333333</v>
      </c>
      <c r="G14" s="233" t="n">
        <v>0.05</v>
      </c>
      <c r="H14" s="233" t="n">
        <f aca="false">HLOOKUP(G14,BDI!$C$19:$J$30,12,)</f>
        <v>0.2624</v>
      </c>
      <c r="I14" s="234" t="n">
        <v>540</v>
      </c>
      <c r="J14" s="234" t="n">
        <v>0</v>
      </c>
      <c r="K14" s="234" t="n">
        <v>540</v>
      </c>
      <c r="L14" s="234" t="n">
        <v>0</v>
      </c>
      <c r="M14" s="234" t="s">
        <v>255</v>
      </c>
      <c r="N14" s="234" t="s">
        <v>255</v>
      </c>
    </row>
    <row r="15" customFormat="false" ht="18" hidden="false" customHeight="true" outlineLevel="0" collapsed="false">
      <c r="B15" s="231" t="s">
        <v>21</v>
      </c>
      <c r="C15" s="231" t="s">
        <v>21</v>
      </c>
      <c r="D15" s="64" t="s">
        <v>97</v>
      </c>
      <c r="E15" s="232" t="s">
        <v>265</v>
      </c>
      <c r="F15" s="66" t="n">
        <v>0</v>
      </c>
      <c r="G15" s="233" t="n">
        <v>0.05</v>
      </c>
      <c r="H15" s="233" t="n">
        <f aca="false">HLOOKUP(G15,BDI!$C$19:$J$30,12,)</f>
        <v>0.2624</v>
      </c>
      <c r="I15" s="234" t="n">
        <v>1896.48</v>
      </c>
      <c r="J15" s="234" t="n">
        <v>1716.77</v>
      </c>
      <c r="K15" s="234" t="n">
        <v>179.71</v>
      </c>
      <c r="L15" s="234" t="n">
        <v>0</v>
      </c>
      <c r="M15" s="234" t="s">
        <v>254</v>
      </c>
      <c r="N15" s="234" t="s">
        <v>255</v>
      </c>
    </row>
    <row r="16" customFormat="false" ht="18" hidden="false" customHeight="true" outlineLevel="0" collapsed="false">
      <c r="B16" s="231" t="s">
        <v>22</v>
      </c>
      <c r="C16" s="231" t="s">
        <v>22</v>
      </c>
      <c r="D16" s="64" t="s">
        <v>131</v>
      </c>
      <c r="E16" s="232" t="s">
        <v>266</v>
      </c>
      <c r="F16" s="66" t="n">
        <f aca="false">177*2/60</f>
        <v>5.9</v>
      </c>
      <c r="G16" s="233" t="n">
        <v>0.03</v>
      </c>
      <c r="H16" s="233" t="n">
        <f aca="false">HLOOKUP(G16,BDI!$C$19:$J$30,12,)</f>
        <v>0.2354</v>
      </c>
      <c r="I16" s="234" t="n">
        <v>2098</v>
      </c>
      <c r="J16" s="234" t="n">
        <v>661</v>
      </c>
      <c r="K16" s="234" t="n">
        <v>742</v>
      </c>
      <c r="L16" s="234" t="n">
        <v>695</v>
      </c>
      <c r="M16" s="234" t="s">
        <v>254</v>
      </c>
      <c r="N16" s="234" t="s">
        <v>254</v>
      </c>
    </row>
    <row r="17" customFormat="false" ht="18" hidden="false" customHeight="true" outlineLevel="0" collapsed="false">
      <c r="B17" s="231" t="s">
        <v>22</v>
      </c>
      <c r="C17" s="231" t="s">
        <v>22</v>
      </c>
      <c r="D17" s="64" t="s">
        <v>132</v>
      </c>
      <c r="E17" s="232" t="s">
        <v>267</v>
      </c>
      <c r="F17" s="66" t="n">
        <f aca="false">40*2/60</f>
        <v>1.33333333333333</v>
      </c>
      <c r="G17" s="233" t="n">
        <v>0.02</v>
      </c>
      <c r="H17" s="233" t="n">
        <f aca="false">HLOOKUP(G17,BDI!$C$19:$J$30,12,)</f>
        <v>0.2223</v>
      </c>
      <c r="I17" s="234" t="n">
        <v>334.4</v>
      </c>
      <c r="J17" s="234" t="n">
        <v>296</v>
      </c>
      <c r="K17" s="234" t="n">
        <v>38.4</v>
      </c>
      <c r="L17" s="234" t="n">
        <v>0</v>
      </c>
      <c r="M17" s="234" t="s">
        <v>255</v>
      </c>
      <c r="N17" s="234" t="s">
        <v>255</v>
      </c>
    </row>
    <row r="18" customFormat="false" ht="18" hidden="false" customHeight="true" outlineLevel="0" collapsed="false">
      <c r="B18" s="231" t="s">
        <v>22</v>
      </c>
      <c r="C18" s="231" t="s">
        <v>22</v>
      </c>
      <c r="D18" s="64" t="s">
        <v>133</v>
      </c>
      <c r="E18" s="232" t="s">
        <v>268</v>
      </c>
      <c r="F18" s="66" t="n">
        <f aca="false">50*2/60</f>
        <v>1.66666666666667</v>
      </c>
      <c r="G18" s="233" t="n">
        <v>0.02</v>
      </c>
      <c r="H18" s="233" t="n">
        <f aca="false">HLOOKUP(G18,BDI!$C$19:$J$30,12,)</f>
        <v>0.2223</v>
      </c>
      <c r="I18" s="234" t="n">
        <v>1264.6</v>
      </c>
      <c r="J18" s="234" t="n">
        <v>749.6</v>
      </c>
      <c r="K18" s="234" t="n">
        <v>515</v>
      </c>
      <c r="L18" s="234" t="n">
        <v>0</v>
      </c>
      <c r="M18" s="234" t="s">
        <v>254</v>
      </c>
      <c r="N18" s="234" t="s">
        <v>254</v>
      </c>
    </row>
    <row r="19" customFormat="false" ht="18" hidden="false" customHeight="true" outlineLevel="0" collapsed="false">
      <c r="B19" s="231" t="s">
        <v>22</v>
      </c>
      <c r="C19" s="231" t="s">
        <v>22</v>
      </c>
      <c r="D19" s="64" t="s">
        <v>134</v>
      </c>
      <c r="E19" s="232" t="s">
        <v>269</v>
      </c>
      <c r="F19" s="66" t="n">
        <f aca="false">132*2/60</f>
        <v>4.4</v>
      </c>
      <c r="G19" s="233" t="n">
        <v>0.02</v>
      </c>
      <c r="H19" s="233" t="n">
        <f aca="false">HLOOKUP(G19,BDI!$C$19:$J$30,12,)</f>
        <v>0.2223</v>
      </c>
      <c r="I19" s="234" t="n">
        <v>1623.5</v>
      </c>
      <c r="J19" s="234" t="n">
        <v>842.5</v>
      </c>
      <c r="K19" s="234" t="n">
        <v>660</v>
      </c>
      <c r="L19" s="234" t="n">
        <v>121</v>
      </c>
      <c r="M19" s="234" t="s">
        <v>255</v>
      </c>
      <c r="N19" s="234" t="s">
        <v>255</v>
      </c>
    </row>
    <row r="20" customFormat="false" ht="18" hidden="false" customHeight="true" outlineLevel="0" collapsed="false">
      <c r="B20" s="231" t="s">
        <v>22</v>
      </c>
      <c r="C20" s="231" t="s">
        <v>22</v>
      </c>
      <c r="D20" s="64" t="s">
        <v>135</v>
      </c>
      <c r="E20" s="235" t="s">
        <v>270</v>
      </c>
      <c r="F20" s="66" t="n">
        <f aca="false">139*2/60</f>
        <v>4.63333333333333</v>
      </c>
      <c r="G20" s="233" t="n">
        <v>0.015</v>
      </c>
      <c r="H20" s="233" t="n">
        <f aca="false">HLOOKUP(G20,BDI!$C$19:$J$30,12,)</f>
        <v>0.2158</v>
      </c>
      <c r="I20" s="234" t="n">
        <v>334.4</v>
      </c>
      <c r="J20" s="234" t="n">
        <v>296</v>
      </c>
      <c r="K20" s="234" t="n">
        <v>38.4</v>
      </c>
      <c r="L20" s="234" t="n">
        <v>0</v>
      </c>
      <c r="M20" s="234" t="s">
        <v>255</v>
      </c>
      <c r="N20" s="234" t="s">
        <v>255</v>
      </c>
    </row>
    <row r="21" customFormat="false" ht="18" hidden="false" customHeight="true" outlineLevel="0" collapsed="false">
      <c r="B21" s="231" t="s">
        <v>22</v>
      </c>
      <c r="C21" s="231" t="s">
        <v>22</v>
      </c>
      <c r="D21" s="64" t="s">
        <v>136</v>
      </c>
      <c r="E21" s="232" t="s">
        <v>271</v>
      </c>
      <c r="F21" s="66" t="n">
        <f aca="false">79*2/60</f>
        <v>2.63333333333333</v>
      </c>
      <c r="G21" s="233" t="n">
        <v>0.02</v>
      </c>
      <c r="H21" s="233" t="n">
        <f aca="false">HLOOKUP(G21,BDI!$C$19:$J$30,12,)</f>
        <v>0.2223</v>
      </c>
      <c r="I21" s="234" t="n">
        <v>780.2</v>
      </c>
      <c r="J21" s="234" t="n">
        <v>578.2</v>
      </c>
      <c r="K21" s="234" t="n">
        <v>155</v>
      </c>
      <c r="L21" s="234" t="n">
        <v>47</v>
      </c>
      <c r="M21" s="234" t="s">
        <v>255</v>
      </c>
      <c r="N21" s="234" t="s">
        <v>254</v>
      </c>
    </row>
    <row r="22" customFormat="false" ht="18" hidden="false" customHeight="true" outlineLevel="0" collapsed="false">
      <c r="B22" s="231" t="s">
        <v>22</v>
      </c>
      <c r="C22" s="231" t="s">
        <v>22</v>
      </c>
      <c r="D22" s="64" t="s">
        <v>137</v>
      </c>
      <c r="E22" s="232" t="s">
        <v>272</v>
      </c>
      <c r="F22" s="66" t="n">
        <f aca="false">114/60</f>
        <v>1.9</v>
      </c>
      <c r="G22" s="233" t="n">
        <v>0.03</v>
      </c>
      <c r="H22" s="233" t="n">
        <f aca="false">HLOOKUP(G22,BDI!$C$19:$J$30,12,)</f>
        <v>0.2354</v>
      </c>
      <c r="I22" s="234" t="n">
        <v>389.8</v>
      </c>
      <c r="J22" s="234" t="n">
        <v>349.8</v>
      </c>
      <c r="K22" s="234" t="n">
        <v>40</v>
      </c>
      <c r="L22" s="234" t="n">
        <v>0</v>
      </c>
      <c r="M22" s="234" t="s">
        <v>255</v>
      </c>
      <c r="N22" s="234" t="s">
        <v>255</v>
      </c>
    </row>
    <row r="23" customFormat="false" ht="18" hidden="false" customHeight="true" outlineLevel="0" collapsed="false">
      <c r="B23" s="231" t="s">
        <v>22</v>
      </c>
      <c r="C23" s="231" t="s">
        <v>22</v>
      </c>
      <c r="D23" s="64" t="s">
        <v>138</v>
      </c>
      <c r="E23" s="235" t="s">
        <v>273</v>
      </c>
      <c r="F23" s="66" t="n">
        <v>0</v>
      </c>
      <c r="G23" s="233" t="n">
        <v>0.02</v>
      </c>
      <c r="H23" s="233" t="n">
        <f aca="false">HLOOKUP(G23,BDI!$C$19:$J$30,12,)</f>
        <v>0.2223</v>
      </c>
      <c r="I23" s="234" t="n">
        <v>3091</v>
      </c>
      <c r="J23" s="234" t="n">
        <v>2231.68</v>
      </c>
      <c r="K23" s="234" t="n">
        <v>859.32</v>
      </c>
      <c r="L23" s="234" t="n">
        <v>0</v>
      </c>
      <c r="M23" s="234" t="s">
        <v>255</v>
      </c>
      <c r="N23" s="234" t="s">
        <v>254</v>
      </c>
    </row>
    <row r="24" customFormat="false" ht="18" hidden="false" customHeight="true" outlineLevel="0" collapsed="false">
      <c r="B24" s="231" t="s">
        <v>22</v>
      </c>
      <c r="C24" s="231" t="s">
        <v>22</v>
      </c>
      <c r="D24" s="64" t="s">
        <v>139</v>
      </c>
      <c r="E24" s="232" t="s">
        <v>274</v>
      </c>
      <c r="F24" s="66" t="n">
        <f aca="false">12/60</f>
        <v>0.2</v>
      </c>
      <c r="G24" s="233" t="n">
        <v>0.02</v>
      </c>
      <c r="H24" s="233" t="n">
        <f aca="false">HLOOKUP(G24,BDI!$C$19:$J$30,12,)</f>
        <v>0.2223</v>
      </c>
      <c r="I24" s="234" t="n">
        <v>873</v>
      </c>
      <c r="J24" s="234" t="n">
        <v>0</v>
      </c>
      <c r="K24" s="234" t="n">
        <v>873</v>
      </c>
      <c r="L24" s="234" t="n">
        <v>0</v>
      </c>
      <c r="M24" s="234" t="s">
        <v>254</v>
      </c>
      <c r="N24" s="234" t="s">
        <v>254</v>
      </c>
    </row>
  </sheetData>
  <mergeCells count="1">
    <mergeCell ref="B2:N2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J65540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H17" activeCellId="0" sqref="H1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36" width="11.62"/>
    <col collapsed="false" customWidth="true" hidden="false" outlineLevel="0" max="3" min="3" style="236" width="42.25"/>
    <col collapsed="false" customWidth="true" hidden="false" outlineLevel="0" max="4" min="4" style="52" width="11"/>
    <col collapsed="false" customWidth="true" hidden="false" outlineLevel="0" max="1023" min="5" style="1" width="10.38"/>
  </cols>
  <sheetData>
    <row r="1" customFormat="false" ht="15" hidden="false" customHeight="true" outlineLevel="0" collapsed="false"/>
    <row r="2" customFormat="false" ht="19.5" hidden="false" customHeight="true" outlineLevel="0" collapsed="false">
      <c r="B2" s="237" t="s">
        <v>275</v>
      </c>
      <c r="C2" s="237"/>
      <c r="D2" s="237"/>
      <c r="E2" s="237"/>
      <c r="F2" s="237"/>
      <c r="G2" s="237"/>
      <c r="H2" s="237"/>
      <c r="I2" s="237"/>
      <c r="J2" s="237"/>
    </row>
    <row r="3" customFormat="false" ht="19.5" hidden="false" customHeight="true" outlineLevel="0" collapsed="false">
      <c r="B3" s="238" t="s">
        <v>3</v>
      </c>
      <c r="C3" s="238"/>
      <c r="D3" s="238"/>
      <c r="E3" s="238"/>
      <c r="F3" s="238"/>
      <c r="G3" s="238"/>
      <c r="H3" s="238"/>
      <c r="I3" s="238"/>
      <c r="J3" s="238"/>
    </row>
    <row r="4" customFormat="false" ht="15" hidden="false" customHeight="true" outlineLevel="0" collapsed="false">
      <c r="B4" s="239"/>
      <c r="C4" s="239"/>
      <c r="D4" s="20"/>
    </row>
    <row r="5" customFormat="false" ht="15" hidden="false" customHeight="true" outlineLevel="0" collapsed="false">
      <c r="B5" s="240" t="s">
        <v>276</v>
      </c>
      <c r="C5" s="240"/>
      <c r="D5" s="240"/>
      <c r="E5" s="240"/>
      <c r="F5" s="241"/>
      <c r="G5" s="241"/>
      <c r="H5" s="241"/>
      <c r="I5" s="241"/>
      <c r="J5" s="242"/>
    </row>
    <row r="6" customFormat="false" ht="15" hidden="false" customHeight="true" outlineLevel="0" collapsed="false">
      <c r="B6" s="243"/>
      <c r="C6" s="2"/>
      <c r="D6" s="135"/>
      <c r="E6" s="135"/>
      <c r="J6" s="244"/>
    </row>
    <row r="7" customFormat="false" ht="15" hidden="false" customHeight="true" outlineLevel="0" collapsed="false">
      <c r="B7" s="245" t="s">
        <v>277</v>
      </c>
      <c r="C7" s="245"/>
      <c r="D7" s="245"/>
      <c r="E7" s="245"/>
      <c r="F7" s="245"/>
      <c r="G7" s="245"/>
      <c r="H7" s="245"/>
      <c r="I7" s="245"/>
      <c r="J7" s="245"/>
    </row>
    <row r="8" customFormat="false" ht="15" hidden="false" customHeight="true" outlineLevel="0" collapsed="false">
      <c r="B8" s="246"/>
      <c r="C8" s="247"/>
      <c r="D8" s="135"/>
      <c r="E8" s="135"/>
      <c r="J8" s="244"/>
    </row>
    <row r="9" customFormat="false" ht="15" hidden="false" customHeight="true" outlineLevel="0" collapsed="false">
      <c r="B9" s="248" t="s">
        <v>278</v>
      </c>
      <c r="C9" s="248"/>
      <c r="D9" s="248"/>
      <c r="E9" s="248"/>
      <c r="F9" s="248"/>
      <c r="G9" s="248"/>
      <c r="H9" s="248"/>
      <c r="I9" s="248"/>
      <c r="J9" s="248"/>
    </row>
    <row r="10" customFormat="false" ht="15" hidden="false" customHeight="true" outlineLevel="0" collapsed="false">
      <c r="B10" s="249" t="s">
        <v>279</v>
      </c>
      <c r="C10" s="249"/>
      <c r="D10" s="249"/>
      <c r="E10" s="249"/>
      <c r="F10" s="249"/>
      <c r="G10" s="249"/>
      <c r="H10" s="249"/>
      <c r="I10" s="249"/>
      <c r="J10" s="249"/>
    </row>
    <row r="11" customFormat="false" ht="15" hidden="false" customHeight="true" outlineLevel="0" collapsed="false">
      <c r="B11" s="249" t="s">
        <v>280</v>
      </c>
      <c r="C11" s="249"/>
      <c r="D11" s="249"/>
      <c r="E11" s="249"/>
      <c r="F11" s="249"/>
      <c r="G11" s="249"/>
      <c r="H11" s="249"/>
      <c r="I11" s="249"/>
      <c r="J11" s="249"/>
    </row>
    <row r="12" customFormat="false" ht="15" hidden="false" customHeight="true" outlineLevel="0" collapsed="false">
      <c r="B12" s="249" t="s">
        <v>281</v>
      </c>
      <c r="C12" s="249"/>
      <c r="D12" s="249"/>
      <c r="E12" s="249"/>
      <c r="F12" s="249"/>
      <c r="G12" s="249"/>
      <c r="H12" s="249"/>
      <c r="I12" s="249"/>
      <c r="J12" s="249"/>
    </row>
    <row r="13" customFormat="false" ht="15" hidden="false" customHeight="true" outlineLevel="0" collapsed="false">
      <c r="B13" s="249" t="s">
        <v>282</v>
      </c>
      <c r="C13" s="249"/>
      <c r="D13" s="249"/>
      <c r="E13" s="249"/>
      <c r="F13" s="249"/>
      <c r="G13" s="249"/>
      <c r="H13" s="249"/>
      <c r="I13" s="249"/>
      <c r="J13" s="249"/>
    </row>
    <row r="14" customFormat="false" ht="15" hidden="false" customHeight="true" outlineLevel="0" collapsed="false">
      <c r="B14" s="249" t="s">
        <v>283</v>
      </c>
      <c r="C14" s="249"/>
      <c r="D14" s="249"/>
      <c r="E14" s="249"/>
      <c r="F14" s="249"/>
      <c r="G14" s="249"/>
      <c r="H14" s="249"/>
      <c r="I14" s="249"/>
      <c r="J14" s="249"/>
    </row>
    <row r="15" customFormat="false" ht="15" hidden="false" customHeight="true" outlineLevel="0" collapsed="false">
      <c r="B15" s="249" t="s">
        <v>284</v>
      </c>
      <c r="C15" s="249"/>
      <c r="D15" s="249"/>
      <c r="E15" s="249"/>
      <c r="F15" s="249"/>
      <c r="G15" s="249"/>
      <c r="H15" s="249"/>
      <c r="I15" s="249"/>
      <c r="J15" s="249"/>
    </row>
    <row r="16" customFormat="false" ht="15" hidden="false" customHeight="true" outlineLevel="0" collapsed="false">
      <c r="B16" s="250" t="s">
        <v>285</v>
      </c>
      <c r="C16" s="250"/>
      <c r="D16" s="250"/>
      <c r="E16" s="250"/>
      <c r="F16" s="250"/>
      <c r="G16" s="250"/>
      <c r="H16" s="250"/>
      <c r="I16" s="250"/>
      <c r="J16" s="250"/>
    </row>
    <row r="17" customFormat="false" ht="24.75" hidden="false" customHeight="true" outlineLevel="0" collapsed="false">
      <c r="D17" s="20"/>
    </row>
    <row r="18" customFormat="false" ht="14.25" hidden="false" customHeight="true" outlineLevel="0" collapsed="false">
      <c r="B18" s="32" t="s">
        <v>286</v>
      </c>
      <c r="C18" s="32"/>
      <c r="D18" s="251" t="s">
        <v>246</v>
      </c>
      <c r="E18" s="251" t="s">
        <v>246</v>
      </c>
      <c r="F18" s="251" t="s">
        <v>246</v>
      </c>
      <c r="G18" s="252" t="s">
        <v>246</v>
      </c>
      <c r="H18" s="253" t="s">
        <v>246</v>
      </c>
      <c r="I18" s="253" t="s">
        <v>246</v>
      </c>
      <c r="J18" s="253" t="s">
        <v>246</v>
      </c>
    </row>
    <row r="19" customFormat="false" ht="14.25" hidden="false" customHeight="false" outlineLevel="0" collapsed="false">
      <c r="B19" s="32"/>
      <c r="C19" s="32"/>
      <c r="D19" s="254" t="n">
        <v>0.05</v>
      </c>
      <c r="E19" s="254" t="n">
        <v>0.04</v>
      </c>
      <c r="F19" s="254" t="n">
        <v>0.035</v>
      </c>
      <c r="G19" s="255" t="n">
        <v>0.03</v>
      </c>
      <c r="H19" s="256" t="n">
        <v>0.025</v>
      </c>
      <c r="I19" s="256" t="n">
        <v>0.02</v>
      </c>
      <c r="J19" s="256" t="n">
        <v>0.015</v>
      </c>
    </row>
    <row r="20" customFormat="false" ht="15" hidden="false" customHeight="true" outlineLevel="0" collapsed="false">
      <c r="B20" s="257" t="s">
        <v>287</v>
      </c>
      <c r="C20" s="258" t="s">
        <v>288</v>
      </c>
      <c r="D20" s="259" t="n">
        <v>0.04</v>
      </c>
      <c r="E20" s="259" t="n">
        <v>0.04</v>
      </c>
      <c r="F20" s="259" t="n">
        <v>0.04</v>
      </c>
      <c r="G20" s="259" t="n">
        <v>0.04</v>
      </c>
      <c r="H20" s="259" t="n">
        <v>0.04</v>
      </c>
      <c r="I20" s="259" t="n">
        <v>0.04</v>
      </c>
      <c r="J20" s="259" t="n">
        <v>0.04</v>
      </c>
    </row>
    <row r="21" customFormat="false" ht="15" hidden="false" customHeight="true" outlineLevel="0" collapsed="false">
      <c r="B21" s="257" t="s">
        <v>289</v>
      </c>
      <c r="C21" s="231" t="s">
        <v>290</v>
      </c>
      <c r="D21" s="260" t="n">
        <v>0.0123</v>
      </c>
      <c r="E21" s="260" t="n">
        <v>0.0123</v>
      </c>
      <c r="F21" s="260" t="n">
        <v>0.0123</v>
      </c>
      <c r="G21" s="260" t="n">
        <v>0.0123</v>
      </c>
      <c r="H21" s="260" t="n">
        <v>0.0123</v>
      </c>
      <c r="I21" s="260" t="n">
        <v>0.0123</v>
      </c>
      <c r="J21" s="260" t="n">
        <v>0.0123</v>
      </c>
    </row>
    <row r="22" customFormat="false" ht="15" hidden="false" customHeight="true" outlineLevel="0" collapsed="false">
      <c r="B22" s="257" t="s">
        <v>291</v>
      </c>
      <c r="C22" s="231" t="s">
        <v>292</v>
      </c>
      <c r="D22" s="260" t="n">
        <v>0.008</v>
      </c>
      <c r="E22" s="260" t="n">
        <v>0.008</v>
      </c>
      <c r="F22" s="260" t="n">
        <v>0.008</v>
      </c>
      <c r="G22" s="260" t="n">
        <v>0.008</v>
      </c>
      <c r="H22" s="260" t="n">
        <v>0.008</v>
      </c>
      <c r="I22" s="260" t="n">
        <v>0.008</v>
      </c>
      <c r="J22" s="260" t="n">
        <v>0.008</v>
      </c>
    </row>
    <row r="23" customFormat="false" ht="15" hidden="false" customHeight="true" outlineLevel="0" collapsed="false">
      <c r="B23" s="257" t="s">
        <v>293</v>
      </c>
      <c r="C23" s="231" t="s">
        <v>294</v>
      </c>
      <c r="D23" s="260" t="n">
        <v>0.0127</v>
      </c>
      <c r="E23" s="260" t="n">
        <v>0.0127</v>
      </c>
      <c r="F23" s="260" t="n">
        <v>0.0127</v>
      </c>
      <c r="G23" s="260" t="n">
        <v>0.0127</v>
      </c>
      <c r="H23" s="260" t="n">
        <v>0.0127</v>
      </c>
      <c r="I23" s="260" t="n">
        <v>0.0127</v>
      </c>
      <c r="J23" s="260" t="n">
        <v>0.0127</v>
      </c>
    </row>
    <row r="24" customFormat="false" ht="15" hidden="false" customHeight="true" outlineLevel="0" collapsed="false">
      <c r="B24" s="257" t="s">
        <v>295</v>
      </c>
      <c r="C24" s="231" t="s">
        <v>296</v>
      </c>
      <c r="D24" s="260" t="n">
        <v>0.074</v>
      </c>
      <c r="E24" s="260" t="n">
        <v>0.074</v>
      </c>
      <c r="F24" s="260" t="n">
        <v>0.074</v>
      </c>
      <c r="G24" s="260" t="n">
        <v>0.074</v>
      </c>
      <c r="H24" s="260" t="n">
        <v>0.074</v>
      </c>
      <c r="I24" s="260" t="n">
        <v>0.074</v>
      </c>
      <c r="J24" s="260" t="n">
        <v>0.074</v>
      </c>
    </row>
    <row r="25" customFormat="false" ht="15" hidden="false" customHeight="true" outlineLevel="0" collapsed="false">
      <c r="B25" s="257" t="s">
        <v>191</v>
      </c>
      <c r="C25" s="231" t="s">
        <v>297</v>
      </c>
      <c r="D25" s="260" t="n">
        <v>0.0065</v>
      </c>
      <c r="E25" s="260" t="n">
        <v>0.0065</v>
      </c>
      <c r="F25" s="260" t="n">
        <v>0.0065</v>
      </c>
      <c r="G25" s="260" t="n">
        <v>0.0065</v>
      </c>
      <c r="H25" s="260" t="n">
        <v>0.0065</v>
      </c>
      <c r="I25" s="260" t="n">
        <v>0.0065</v>
      </c>
      <c r="J25" s="260" t="n">
        <v>0.0065</v>
      </c>
    </row>
    <row r="26" customFormat="false" ht="15" hidden="false" customHeight="true" outlineLevel="0" collapsed="false">
      <c r="B26" s="257"/>
      <c r="C26" s="257" t="s">
        <v>298</v>
      </c>
      <c r="D26" s="261" t="n">
        <v>0.03</v>
      </c>
      <c r="E26" s="261" t="n">
        <v>0.03</v>
      </c>
      <c r="F26" s="261" t="n">
        <v>0.03</v>
      </c>
      <c r="G26" s="261" t="n">
        <v>0.03</v>
      </c>
      <c r="H26" s="261" t="n">
        <v>0.03</v>
      </c>
      <c r="I26" s="261" t="n">
        <v>0.03</v>
      </c>
      <c r="J26" s="261" t="n">
        <v>0.03</v>
      </c>
    </row>
    <row r="27" customFormat="false" ht="15" hidden="false" customHeight="true" outlineLevel="0" collapsed="false">
      <c r="B27" s="257"/>
      <c r="C27" s="257" t="s">
        <v>246</v>
      </c>
      <c r="D27" s="261" t="n">
        <v>0.05</v>
      </c>
      <c r="E27" s="261" t="n">
        <v>0.04</v>
      </c>
      <c r="F27" s="260" t="n">
        <v>0.035</v>
      </c>
      <c r="G27" s="261" t="n">
        <v>0.03</v>
      </c>
      <c r="H27" s="261" t="n">
        <v>0.025</v>
      </c>
      <c r="I27" s="261" t="n">
        <v>0.02</v>
      </c>
      <c r="J27" s="260" t="n">
        <v>0.015</v>
      </c>
    </row>
    <row r="28" customFormat="false" ht="15" hidden="false" customHeight="true" outlineLevel="0" collapsed="false">
      <c r="B28" s="257"/>
      <c r="C28" s="257" t="s">
        <v>299</v>
      </c>
      <c r="D28" s="261" t="n">
        <v>0</v>
      </c>
      <c r="E28" s="261" t="n">
        <v>0</v>
      </c>
      <c r="F28" s="260" t="n">
        <v>0</v>
      </c>
      <c r="G28" s="261" t="n">
        <v>0</v>
      </c>
      <c r="H28" s="261" t="n">
        <v>0</v>
      </c>
      <c r="I28" s="261" t="n">
        <v>0</v>
      </c>
      <c r="J28" s="260" t="n">
        <v>0</v>
      </c>
    </row>
    <row r="29" customFormat="false" ht="19.5" hidden="false" customHeight="true" outlineLevel="0" collapsed="false">
      <c r="B29" s="133" t="s">
        <v>300</v>
      </c>
      <c r="C29" s="133"/>
      <c r="D29" s="36" t="n">
        <f aca="false">(((1+D22+D20+D23)*(1+D21)*(1+D24))/(1-(D25+D26+D27+D28))-1)</f>
        <v>0.262401597307061</v>
      </c>
      <c r="E29" s="36" t="n">
        <f aca="false">(((1+E22+E20+E23)*(1+E21)*(1+E24))/(1-(E25+E26+E27+E28))-1)</f>
        <v>0.248731845305902</v>
      </c>
      <c r="F29" s="36" t="n">
        <f aca="false">(((1+F22+F20+F23)*(1+F21)*(1+F24))/(1-(F25+F26+F27+F28))-1)</f>
        <v>0.24200738733441</v>
      </c>
      <c r="G29" s="36" t="n">
        <f aca="false">(((1+G22+G20+G23)*(1+G21)*(1+G24))/(1-(G25+G26+G27+G28))-1)</f>
        <v>0.235354964263524</v>
      </c>
      <c r="H29" s="36" t="n">
        <f aca="false">(((1+H22+H20+H23)*(1+H21)*(1+H24))/(1-(H25+H26+H27+H28))-1)</f>
        <v>0.22877342476292</v>
      </c>
      <c r="I29" s="36" t="n">
        <f aca="false">(((1+I22+I20+I23)*(1+I21)*(1+I24))/(1-(I25+I26+I27+I28))-1)</f>
        <v>0.22226164190779</v>
      </c>
      <c r="J29" s="36" t="n">
        <f aca="false">(((1+J22+J20+J23)*(1+J21)*(1+J24))/(1-(J25+J26+J27+J28))-1)</f>
        <v>0.215818512535582</v>
      </c>
    </row>
    <row r="30" customFormat="false" ht="19.5" hidden="false" customHeight="true" outlineLevel="0" collapsed="false">
      <c r="B30" s="262" t="s">
        <v>301</v>
      </c>
      <c r="C30" s="262"/>
      <c r="D30" s="263" t="n">
        <f aca="false">ROUND(D29,4)</f>
        <v>0.2624</v>
      </c>
      <c r="E30" s="263" t="n">
        <f aca="false">ROUND(E29,4)</f>
        <v>0.2487</v>
      </c>
      <c r="F30" s="263" t="n">
        <f aca="false">ROUND(F29,4)</f>
        <v>0.242</v>
      </c>
      <c r="G30" s="263" t="n">
        <f aca="false">ROUND(G29,4)</f>
        <v>0.2354</v>
      </c>
      <c r="H30" s="263" t="n">
        <f aca="false">ROUND(H29,4)</f>
        <v>0.2288</v>
      </c>
      <c r="I30" s="263" t="n">
        <f aca="false">ROUND(I29,4)</f>
        <v>0.2223</v>
      </c>
      <c r="J30" s="263" t="n">
        <f aca="false">ROUND(J29,4)</f>
        <v>0.2158</v>
      </c>
    </row>
    <row r="31" customFormat="false" ht="24.75" hidden="false" customHeight="true" outlineLevel="0" collapsed="false">
      <c r="B31" s="264"/>
      <c r="C31" s="264"/>
      <c r="D31" s="84"/>
      <c r="E31" s="84"/>
      <c r="F31" s="84"/>
      <c r="G31" s="84"/>
      <c r="H31" s="84"/>
      <c r="I31" s="84"/>
      <c r="J31" s="84"/>
    </row>
    <row r="32" customFormat="false" ht="14.25" hidden="false" customHeight="true" outlineLevel="0" collapsed="false">
      <c r="B32" s="32" t="s">
        <v>302</v>
      </c>
      <c r="C32" s="32"/>
      <c r="D32" s="251" t="s">
        <v>246</v>
      </c>
      <c r="E32" s="251" t="s">
        <v>246</v>
      </c>
      <c r="F32" s="251" t="s">
        <v>246</v>
      </c>
      <c r="G32" s="252" t="s">
        <v>246</v>
      </c>
      <c r="H32" s="253" t="s">
        <v>246</v>
      </c>
      <c r="I32" s="253" t="s">
        <v>246</v>
      </c>
      <c r="J32" s="253" t="s">
        <v>246</v>
      </c>
    </row>
    <row r="33" customFormat="false" ht="14.25" hidden="false" customHeight="false" outlineLevel="0" collapsed="false">
      <c r="B33" s="32"/>
      <c r="C33" s="32"/>
      <c r="D33" s="265" t="n">
        <v>0.05</v>
      </c>
      <c r="E33" s="265" t="n">
        <v>0.04</v>
      </c>
      <c r="F33" s="265" t="n">
        <v>0.035</v>
      </c>
      <c r="G33" s="266" t="n">
        <v>0.03</v>
      </c>
      <c r="H33" s="267" t="n">
        <v>0.025</v>
      </c>
      <c r="I33" s="267" t="n">
        <v>0.02</v>
      </c>
      <c r="J33" s="267" t="n">
        <v>0.015</v>
      </c>
    </row>
    <row r="34" customFormat="false" ht="15" hidden="false" customHeight="true" outlineLevel="0" collapsed="false">
      <c r="B34" s="257" t="s">
        <v>287</v>
      </c>
      <c r="C34" s="258" t="s">
        <v>288</v>
      </c>
      <c r="D34" s="260" t="n">
        <v>0.0345</v>
      </c>
      <c r="E34" s="260" t="n">
        <v>0.0345</v>
      </c>
      <c r="F34" s="260" t="n">
        <v>0.0345</v>
      </c>
      <c r="G34" s="260" t="n">
        <v>0.0345</v>
      </c>
      <c r="H34" s="260" t="n">
        <v>0.0345</v>
      </c>
      <c r="I34" s="260" t="n">
        <v>0.0345</v>
      </c>
      <c r="J34" s="260" t="n">
        <v>0.0345</v>
      </c>
    </row>
    <row r="35" customFormat="false" ht="15" hidden="false" customHeight="true" outlineLevel="0" collapsed="false">
      <c r="B35" s="257" t="s">
        <v>289</v>
      </c>
      <c r="C35" s="231" t="s">
        <v>290</v>
      </c>
      <c r="D35" s="260" t="n">
        <v>0.0085</v>
      </c>
      <c r="E35" s="260" t="n">
        <v>0.0085</v>
      </c>
      <c r="F35" s="260" t="n">
        <v>0.0085</v>
      </c>
      <c r="G35" s="260" t="n">
        <v>0.0085</v>
      </c>
      <c r="H35" s="260" t="n">
        <v>0.0085</v>
      </c>
      <c r="I35" s="260" t="n">
        <v>0.0085</v>
      </c>
      <c r="J35" s="260" t="n">
        <v>0.0085</v>
      </c>
    </row>
    <row r="36" customFormat="false" ht="15" hidden="false" customHeight="true" outlineLevel="0" collapsed="false">
      <c r="B36" s="257" t="s">
        <v>291</v>
      </c>
      <c r="C36" s="231" t="s">
        <v>292</v>
      </c>
      <c r="D36" s="260" t="n">
        <v>0.0048</v>
      </c>
      <c r="E36" s="260" t="n">
        <v>0.0048</v>
      </c>
      <c r="F36" s="260" t="n">
        <v>0.0048</v>
      </c>
      <c r="G36" s="260" t="n">
        <v>0.0048</v>
      </c>
      <c r="H36" s="260" t="n">
        <v>0.0048</v>
      </c>
      <c r="I36" s="260" t="n">
        <v>0.0048</v>
      </c>
      <c r="J36" s="260" t="n">
        <v>0.0048</v>
      </c>
    </row>
    <row r="37" customFormat="false" ht="15" hidden="false" customHeight="true" outlineLevel="0" collapsed="false">
      <c r="B37" s="257" t="s">
        <v>293</v>
      </c>
      <c r="C37" s="231" t="s">
        <v>294</v>
      </c>
      <c r="D37" s="260" t="n">
        <v>0.0085</v>
      </c>
      <c r="E37" s="260" t="n">
        <v>0.0085</v>
      </c>
      <c r="F37" s="260" t="n">
        <v>0.0085</v>
      </c>
      <c r="G37" s="260" t="n">
        <v>0.0085</v>
      </c>
      <c r="H37" s="260" t="n">
        <v>0.0085</v>
      </c>
      <c r="I37" s="260" t="n">
        <v>0.0085</v>
      </c>
      <c r="J37" s="260" t="n">
        <v>0.0085</v>
      </c>
    </row>
    <row r="38" customFormat="false" ht="15" hidden="false" customHeight="true" outlineLevel="0" collapsed="false">
      <c r="B38" s="257" t="s">
        <v>295</v>
      </c>
      <c r="C38" s="231" t="s">
        <v>296</v>
      </c>
      <c r="D38" s="260" t="n">
        <v>0.0511</v>
      </c>
      <c r="E38" s="260" t="n">
        <v>0.0511</v>
      </c>
      <c r="F38" s="260" t="n">
        <v>0.0511</v>
      </c>
      <c r="G38" s="260" t="n">
        <v>0.0511</v>
      </c>
      <c r="H38" s="260" t="n">
        <v>0.0511</v>
      </c>
      <c r="I38" s="260" t="n">
        <v>0.0511</v>
      </c>
      <c r="J38" s="260" t="n">
        <v>0.0511</v>
      </c>
    </row>
    <row r="39" customFormat="false" ht="15" hidden="false" customHeight="true" outlineLevel="0" collapsed="false">
      <c r="B39" s="257" t="s">
        <v>191</v>
      </c>
      <c r="C39" s="231" t="s">
        <v>297</v>
      </c>
      <c r="D39" s="260" t="n">
        <v>0.0065</v>
      </c>
      <c r="E39" s="260" t="n">
        <v>0.0065</v>
      </c>
      <c r="F39" s="260" t="n">
        <v>0.0065</v>
      </c>
      <c r="G39" s="260" t="n">
        <v>0.0065</v>
      </c>
      <c r="H39" s="260" t="n">
        <v>0.0065</v>
      </c>
      <c r="I39" s="260" t="n">
        <v>0.0065</v>
      </c>
      <c r="J39" s="260" t="n">
        <v>0.0065</v>
      </c>
    </row>
    <row r="40" customFormat="false" ht="15" hidden="false" customHeight="true" outlineLevel="0" collapsed="false">
      <c r="B40" s="257"/>
      <c r="C40" s="257" t="s">
        <v>298</v>
      </c>
      <c r="D40" s="261" t="n">
        <v>0.03</v>
      </c>
      <c r="E40" s="261" t="n">
        <v>0.03</v>
      </c>
      <c r="F40" s="261" t="n">
        <v>0.03</v>
      </c>
      <c r="G40" s="261" t="n">
        <v>0.03</v>
      </c>
      <c r="H40" s="261" t="n">
        <v>0.03</v>
      </c>
      <c r="I40" s="261" t="n">
        <v>0.03</v>
      </c>
      <c r="J40" s="261" t="n">
        <v>0.03</v>
      </c>
    </row>
    <row r="41" customFormat="false" ht="15" hidden="false" customHeight="true" outlineLevel="0" collapsed="false">
      <c r="B41" s="257"/>
      <c r="C41" s="257" t="s">
        <v>246</v>
      </c>
      <c r="D41" s="261" t="n">
        <v>0</v>
      </c>
      <c r="E41" s="261" t="n">
        <v>0</v>
      </c>
      <c r="F41" s="260" t="n">
        <v>0</v>
      </c>
      <c r="G41" s="261" t="n">
        <v>0</v>
      </c>
      <c r="H41" s="261" t="n">
        <v>0</v>
      </c>
      <c r="I41" s="261" t="n">
        <v>0</v>
      </c>
      <c r="J41" s="260" t="n">
        <v>0</v>
      </c>
    </row>
    <row r="42" customFormat="false" ht="15" hidden="false" customHeight="true" outlineLevel="0" collapsed="false">
      <c r="B42" s="257"/>
      <c r="C42" s="257" t="s">
        <v>299</v>
      </c>
      <c r="D42" s="261" t="n">
        <v>0</v>
      </c>
      <c r="E42" s="261" t="n">
        <v>0</v>
      </c>
      <c r="F42" s="260" t="n">
        <v>0</v>
      </c>
      <c r="G42" s="261" t="n">
        <v>0</v>
      </c>
      <c r="H42" s="261" t="n">
        <v>0</v>
      </c>
      <c r="I42" s="261" t="n">
        <v>0</v>
      </c>
      <c r="J42" s="260" t="n">
        <v>0</v>
      </c>
    </row>
    <row r="43" customFormat="false" ht="19.5" hidden="false" customHeight="true" outlineLevel="0" collapsed="false">
      <c r="B43" s="88" t="s">
        <v>300</v>
      </c>
      <c r="C43" s="88"/>
      <c r="D43" s="36" t="n">
        <f aca="false">(((1+D36+D34+D37)*(1+D35)*(1+D38))/(1-(D39+D40+D41+D42))-1)</f>
        <v>0.152780479429164</v>
      </c>
      <c r="E43" s="36" t="n">
        <f aca="false">(((1+E36+E34+E37)*(1+E35)*(1+E38))/(1-(E39+E40+E41+E42))-1)</f>
        <v>0.152780479429164</v>
      </c>
      <c r="F43" s="36" t="n">
        <f aca="false">(((1+F36+F34+F37)*(1+F35)*(1+F38))/(1-(F39+F40+F41+F42))-1)</f>
        <v>0.152780479429164</v>
      </c>
      <c r="G43" s="36" t="n">
        <f aca="false">(((1+G36+G34+G37)*(1+G35)*(1+G38))/(1-(G39+G40+G41+G42))-1)</f>
        <v>0.152780479429164</v>
      </c>
      <c r="H43" s="36" t="n">
        <f aca="false">(((1+H36+H34+H37)*(1+H35)*(1+H38))/(1-(H39+H40+H41+H42))-1)</f>
        <v>0.152780479429164</v>
      </c>
      <c r="I43" s="36" t="n">
        <f aca="false">(((1+I36+I34+I37)*(1+I35)*(1+I38))/(1-(I39+I40+I41+I42))-1)</f>
        <v>0.152780479429164</v>
      </c>
      <c r="J43" s="36" t="n">
        <f aca="false">(((1+J36+J34+J37)*(1+J35)*(1+J38))/(1-(J39+J40+J41+J42))-1)</f>
        <v>0.152780479429164</v>
      </c>
    </row>
    <row r="44" customFormat="false" ht="19.5" hidden="false" customHeight="true" outlineLevel="0" collapsed="false">
      <c r="B44" s="268" t="s">
        <v>301</v>
      </c>
      <c r="C44" s="268"/>
      <c r="D44" s="263" t="n">
        <f aca="false">ROUND(D43,4)</f>
        <v>0.1528</v>
      </c>
      <c r="E44" s="263" t="n">
        <f aca="false">ROUND(E43,4)</f>
        <v>0.1528</v>
      </c>
      <c r="F44" s="263" t="n">
        <f aca="false">ROUND(F43,4)</f>
        <v>0.1528</v>
      </c>
      <c r="G44" s="263" t="n">
        <f aca="false">ROUND(G43,4)</f>
        <v>0.1528</v>
      </c>
      <c r="H44" s="263" t="n">
        <f aca="false">ROUND(H43,4)</f>
        <v>0.1528</v>
      </c>
      <c r="I44" s="263" t="n">
        <f aca="false">ROUND(I43,4)</f>
        <v>0.1528</v>
      </c>
      <c r="J44" s="263" t="n">
        <f aca="false">ROUND(J43,4)</f>
        <v>0.1528</v>
      </c>
    </row>
    <row r="65540" customFormat="false" ht="12.75" hidden="false" customHeight="true" outlineLevel="0" collapsed="false"/>
    <row r="65541" customFormat="false" ht="12.75" hidden="false" customHeight="true" outlineLevel="0" collapsed="false"/>
  </sheetData>
  <mergeCells count="20">
    <mergeCell ref="B2:J2"/>
    <mergeCell ref="B3:J3"/>
    <mergeCell ref="B5:E5"/>
    <mergeCell ref="B7:J7"/>
    <mergeCell ref="B9:J9"/>
    <mergeCell ref="B10:J10"/>
    <mergeCell ref="B11:J11"/>
    <mergeCell ref="B12:J12"/>
    <mergeCell ref="B13:J13"/>
    <mergeCell ref="B14:J14"/>
    <mergeCell ref="B15:J15"/>
    <mergeCell ref="B16:J16"/>
    <mergeCell ref="B18:C19"/>
    <mergeCell ref="B25:B28"/>
    <mergeCell ref="B29:C29"/>
    <mergeCell ref="B30:C30"/>
    <mergeCell ref="B32:C33"/>
    <mergeCell ref="B39:B42"/>
    <mergeCell ref="B43:C43"/>
    <mergeCell ref="B44:C44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A2:AMD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1015625" defaultRowHeight="14.25" zeroHeight="false" outlineLevelRow="0" outlineLevelCol="0"/>
  <cols>
    <col collapsed="false" customWidth="true" hidden="false" outlineLevel="0" max="2" min="2" style="1" width="32.38"/>
    <col collapsed="false" customWidth="true" hidden="false" outlineLevel="0" max="3" min="3" style="16" width="9.12"/>
    <col collapsed="false" customWidth="true" hidden="false" outlineLevel="0" max="4" min="4" style="16" width="12.25"/>
    <col collapsed="false" customWidth="true" hidden="false" outlineLevel="0" max="5" min="5" style="16" width="13.62"/>
    <col collapsed="false" customWidth="true" hidden="false" outlineLevel="0" max="6" min="6" style="16" width="7"/>
    <col collapsed="false" customWidth="true" hidden="false" outlineLevel="0" max="7" min="7" style="16" width="11.88"/>
    <col collapsed="false" customWidth="true" hidden="false" outlineLevel="0" max="8" min="8" style="16" width="13.25"/>
    <col collapsed="false" customWidth="true" hidden="false" outlineLevel="0" max="9" min="9" style="16" width="12.76"/>
    <col collapsed="false" customWidth="true" hidden="false" outlineLevel="0" max="11" min="10" style="16" width="13"/>
    <col collapsed="false" customWidth="true" hidden="false" outlineLevel="0" max="13" min="12" style="16" width="9.25"/>
    <col collapsed="false" customWidth="true" hidden="false" outlineLevel="0" max="248" min="14" style="16" width="10.62"/>
    <col collapsed="false" customWidth="true" hidden="false" outlineLevel="0" max="1018" min="249" style="1" width="10.5"/>
  </cols>
  <sheetData>
    <row r="2" customFormat="false" ht="24.75" hidden="false" customHeight="true" outlineLevel="0" collapsed="false">
      <c r="B2" s="44" t="str">
        <f aca="false">"DIVISÃO DOS CUSTOS POR ALÍQUOTA DE ISSQN - "&amp;'Valor da Contratação'!B7&amp;""</f>
        <v>DIVISÃO DOS CUSTOS POR ALÍQUOTA DE ISSQN - POLO IV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customFormat="false" ht="16.5" hidden="false" customHeight="true" outlineLevel="0" collapsed="false"/>
    <row r="4" customFormat="false" ht="45.75" hidden="false" customHeight="true" outlineLevel="0" collapsed="false">
      <c r="B4" s="269" t="s">
        <v>41</v>
      </c>
      <c r="C4" s="270" t="s">
        <v>303</v>
      </c>
      <c r="D4" s="270" t="s">
        <v>304</v>
      </c>
      <c r="E4" s="270" t="s">
        <v>305</v>
      </c>
      <c r="F4" s="271"/>
      <c r="G4" s="270" t="s">
        <v>306</v>
      </c>
      <c r="H4" s="270" t="s">
        <v>307</v>
      </c>
      <c r="I4" s="270" t="s">
        <v>308</v>
      </c>
      <c r="J4" s="270" t="s">
        <v>309</v>
      </c>
      <c r="K4" s="270" t="s">
        <v>310</v>
      </c>
      <c r="L4" s="270" t="s">
        <v>311</v>
      </c>
      <c r="M4" s="270" t="s">
        <v>312</v>
      </c>
    </row>
    <row r="5" customFormat="false" ht="15" hidden="false" customHeight="true" outlineLevel="0" collapsed="false">
      <c r="B5" s="64" t="s">
        <v>81</v>
      </c>
      <c r="C5" s="272" t="n">
        <f aca="false">VLOOKUP(B5,Unidades!$D$5:$G$24,4,)</f>
        <v>0.03</v>
      </c>
      <c r="D5" s="273" t="n">
        <f aca="false">'Base Blumenau'!AD7*12+'Base Blumenau'!AE7*4+'Base Blumenau'!AF7*2+'Base Blumenau'!AG7</f>
        <v>12223.2911720674</v>
      </c>
      <c r="E5" s="273" t="n">
        <f aca="false">'Base Blumenau'!AK7*12+'Base Blumenau'!AL7*4+'Base Blumenau'!AM7*2+'Base Blumenau'!AN7</f>
        <v>15100.6539139721</v>
      </c>
      <c r="G5" s="261" t="n">
        <v>0.015</v>
      </c>
      <c r="H5" s="274" t="n">
        <f aca="false">SUMIF(C$5:C$24,G5,D$5:D$24)</f>
        <v>11823.0045874919</v>
      </c>
      <c r="I5" s="274" t="n">
        <f aca="false">SUMIF(C$5:C$24,G5,E$5:E$24)</f>
        <v>14374.4089774726</v>
      </c>
      <c r="J5" s="274" t="n">
        <f aca="false">H5*4</f>
        <v>47292.0183499676</v>
      </c>
      <c r="K5" s="274" t="n">
        <f aca="false">I5*4</f>
        <v>57497.6359098906</v>
      </c>
      <c r="L5" s="275" t="n">
        <f aca="false">H5/H$14</f>
        <v>0.0450889337876703</v>
      </c>
      <c r="M5" s="275" t="n">
        <f aca="false">I5/I$14</f>
        <v>0.0445101118674697</v>
      </c>
    </row>
    <row r="6" customFormat="false" ht="15" hidden="false" customHeight="true" outlineLevel="0" collapsed="false">
      <c r="B6" s="64" t="s">
        <v>83</v>
      </c>
      <c r="C6" s="272" t="n">
        <f aca="false">VLOOKUP(B6,Unidades!$D$5:$G$24,4,)</f>
        <v>0.03</v>
      </c>
      <c r="D6" s="273" t="n">
        <f aca="false">'Base Blumenau'!AD8*12+'Base Blumenau'!AE8*4+'Base Blumenau'!AF8*2+'Base Blumenau'!AG8</f>
        <v>15165.9087012314</v>
      </c>
      <c r="E6" s="273" t="n">
        <f aca="false">'Base Blumenau'!AK8*12+'Base Blumenau'!AL8*4+'Base Blumenau'!AM8*2+'Base Blumenau'!AN8</f>
        <v>18735.9636095012</v>
      </c>
      <c r="G6" s="261" t="n">
        <v>0.02</v>
      </c>
      <c r="H6" s="274" t="n">
        <f aca="false">SUMIF(C$5:C$24,G6,D$5:D$24)</f>
        <v>127479.689665695</v>
      </c>
      <c r="I6" s="274" t="n">
        <f aca="false">SUMIF(C$5:C$24,G6,E$5:E$24)</f>
        <v>155818.424678378</v>
      </c>
      <c r="J6" s="274" t="n">
        <f aca="false">H6*4</f>
        <v>509918.758662778</v>
      </c>
      <c r="K6" s="274" t="n">
        <f aca="false">I6*4</f>
        <v>623273.698713514</v>
      </c>
      <c r="L6" s="275" t="n">
        <f aca="false">H6/H$14</f>
        <v>0.486164345456675</v>
      </c>
      <c r="M6" s="275" t="n">
        <f aca="false">I6/I$14</f>
        <v>0.482489090460465</v>
      </c>
    </row>
    <row r="7" customFormat="false" ht="15" hidden="false" customHeight="true" outlineLevel="0" collapsed="false">
      <c r="B7" s="64" t="s">
        <v>85</v>
      </c>
      <c r="C7" s="272" t="n">
        <f aca="false">VLOOKUP(B7,Unidades!$D$5:$G$24,4,)</f>
        <v>0.04</v>
      </c>
      <c r="D7" s="273" t="n">
        <f aca="false">'Base Blumenau'!AD9*12+'Base Blumenau'!AE9*4+'Base Blumenau'!AF9*2+'Base Blumenau'!AG9</f>
        <v>12503.6687272089</v>
      </c>
      <c r="E7" s="273" t="n">
        <f aca="false">'Base Blumenau'!AK9*12+'Base Blumenau'!AL9*4+'Base Blumenau'!AM9*2+'Base Blumenau'!AN9</f>
        <v>15613.3311396658</v>
      </c>
      <c r="G7" s="261" t="n">
        <v>0.025</v>
      </c>
      <c r="H7" s="274" t="n">
        <f aca="false">SUMIF(C$5:C$24,G7,D$5:D$24)</f>
        <v>0</v>
      </c>
      <c r="I7" s="274" t="n">
        <f aca="false">SUMIF(C$5:C$24,G7,E$5:E$24)</f>
        <v>0</v>
      </c>
      <c r="J7" s="274" t="n">
        <f aca="false">H7*4</f>
        <v>0</v>
      </c>
      <c r="K7" s="274" t="n">
        <f aca="false">I7*4</f>
        <v>0</v>
      </c>
      <c r="L7" s="275" t="n">
        <f aca="false">H7/H$14</f>
        <v>0</v>
      </c>
      <c r="M7" s="275" t="n">
        <f aca="false">I7/I$14</f>
        <v>0</v>
      </c>
    </row>
    <row r="8" customFormat="false" ht="15" hidden="false" customHeight="true" outlineLevel="0" collapsed="false">
      <c r="B8" s="64" t="s">
        <v>86</v>
      </c>
      <c r="C8" s="272" t="n">
        <f aca="false">VLOOKUP(B8,Unidades!$D$5:$G$24,4,)</f>
        <v>0.03</v>
      </c>
      <c r="D8" s="273" t="n">
        <f aca="false">'Base Blumenau'!AD10*12+'Base Blumenau'!AE10*4+'Base Blumenau'!AF10*2+'Base Blumenau'!AG10</f>
        <v>9750.2725874919</v>
      </c>
      <c r="E8" s="273" t="n">
        <f aca="false">'Base Blumenau'!AK10*12+'Base Blumenau'!AL10*4+'Base Blumenau'!AM10*2+'Base Blumenau'!AN10</f>
        <v>12045.4867545875</v>
      </c>
      <c r="G8" s="261" t="n">
        <v>0.03</v>
      </c>
      <c r="H8" s="274" t="n">
        <f aca="false">SUMIF(C$5:C$24,G8,D$5:D$24)</f>
        <v>67652.4842225643</v>
      </c>
      <c r="I8" s="274" t="n">
        <f aca="false">SUMIF(C$5:C$24,G8,E$5:E$24)</f>
        <v>83577.8790085559</v>
      </c>
      <c r="J8" s="274" t="n">
        <f aca="false">H8*4</f>
        <v>270609.936890257</v>
      </c>
      <c r="K8" s="274" t="n">
        <f aca="false">I8*4</f>
        <v>334311.516034224</v>
      </c>
      <c r="L8" s="275" t="n">
        <f aca="false">H8/H$14</f>
        <v>0.25800365373365</v>
      </c>
      <c r="M8" s="275" t="n">
        <f aca="false">I8/I$14</f>
        <v>0.258797474744645</v>
      </c>
    </row>
    <row r="9" s="29" customFormat="true" ht="15" hidden="false" customHeight="true" outlineLevel="0" collapsed="false">
      <c r="B9" s="64" t="s">
        <v>87</v>
      </c>
      <c r="C9" s="272" t="n">
        <f aca="false">VLOOKUP(B9,Unidades!$D$5:$G$24,4,)</f>
        <v>0.02</v>
      </c>
      <c r="D9" s="273" t="n">
        <f aca="false">'Base Blumenau'!AD11*12+'Base Blumenau'!AE11*4+'Base Blumenau'!AF11*2+'Base Blumenau'!AG11</f>
        <v>14797.2207563729</v>
      </c>
      <c r="E9" s="273" t="n">
        <f aca="false">'Base Blumenau'!AK11*12+'Base Blumenau'!AL11*4+'Base Blumenau'!AM11*2+'Base Blumenau'!AN11</f>
        <v>18086.6429305146</v>
      </c>
      <c r="G9" s="261" t="n">
        <v>0.035</v>
      </c>
      <c r="H9" s="274" t="n">
        <f aca="false">SUMIF(C$5:C$24,G9,D$5:D$24)</f>
        <v>20227.6291749838</v>
      </c>
      <c r="I9" s="274" t="n">
        <f aca="false">SUMIF(C$5:C$24,G9,E$5:E$24)</f>
        <v>25122.7154353299</v>
      </c>
      <c r="J9" s="274" t="n">
        <f aca="false">H9*4</f>
        <v>80910.5166999352</v>
      </c>
      <c r="K9" s="274" t="n">
        <f aca="false">I9*4</f>
        <v>100490.86174132</v>
      </c>
      <c r="L9" s="275" t="n">
        <f aca="false">H9/H$14</f>
        <v>0.0771413244241895</v>
      </c>
      <c r="M9" s="275" t="n">
        <f aca="false">I9/I$14</f>
        <v>0.0777920592209105</v>
      </c>
      <c r="IO9" s="33"/>
    </row>
    <row r="10" s="29" customFormat="true" ht="15" hidden="false" customHeight="true" outlineLevel="0" collapsed="false">
      <c r="B10" s="64" t="s">
        <v>89</v>
      </c>
      <c r="C10" s="272" t="n">
        <f aca="false">VLOOKUP(B10,Unidades!$D$5:$G$24,4,)</f>
        <v>0.02</v>
      </c>
      <c r="D10" s="273" t="n">
        <f aca="false">'Base Blumenau'!AD12*12+'Base Blumenau'!AE12*4+'Base Blumenau'!AF12*2+'Base Blumenau'!AG12</f>
        <v>10428.6541708252</v>
      </c>
      <c r="E10" s="273" t="n">
        <f aca="false">'Base Blumenau'!AK12*12+'Base Blumenau'!AL12*4+'Base Blumenau'!AM12*2+'Base Blumenau'!AN12</f>
        <v>12746.9439929997</v>
      </c>
      <c r="G10" s="261" t="n">
        <v>0.04</v>
      </c>
      <c r="H10" s="274" t="n">
        <f aca="false">SUMIF(C$5:C$24,G10,D$5:D$24)</f>
        <v>12503.6687272089</v>
      </c>
      <c r="I10" s="274" t="n">
        <f aca="false">SUMIF(C$5:C$24,G10,E$5:E$24)</f>
        <v>15613.3311396658</v>
      </c>
      <c r="J10" s="274" t="n">
        <f aca="false">H10*4</f>
        <v>50014.6749088356</v>
      </c>
      <c r="K10" s="274" t="n">
        <f aca="false">I10*4</f>
        <v>62453.324558663</v>
      </c>
      <c r="L10" s="275" t="n">
        <f aca="false">H10/H$14</f>
        <v>0.0476847562032186</v>
      </c>
      <c r="M10" s="275" t="n">
        <f aca="false">I10/I$14</f>
        <v>0.0483464131804993</v>
      </c>
      <c r="IO10" s="33"/>
    </row>
    <row r="11" customFormat="false" ht="15" hidden="false" customHeight="true" outlineLevel="0" collapsed="false">
      <c r="B11" s="64" t="s">
        <v>90</v>
      </c>
      <c r="C11" s="272" t="n">
        <f aca="false">VLOOKUP(B11,Unidades!$D$5:$G$24,4,)</f>
        <v>0.035</v>
      </c>
      <c r="D11" s="273" t="n">
        <f aca="false">'Base Blumenau'!AD13*12+'Base Blumenau'!AE13*4+'Base Blumenau'!AF13*2+'Base Blumenau'!AG13</f>
        <v>10477.3565874919</v>
      </c>
      <c r="E11" s="273" t="n">
        <f aca="false">'Base Blumenau'!AK13*12+'Base Blumenau'!AL13*4+'Base Blumenau'!AM13*2+'Base Blumenau'!AN13</f>
        <v>13012.8768816649</v>
      </c>
      <c r="G11" s="261" t="n">
        <v>0.045</v>
      </c>
      <c r="H11" s="274" t="n">
        <f aca="false">SUMIF(C$5:C$24,G11,D$5:D$24)</f>
        <v>0</v>
      </c>
      <c r="I11" s="274" t="n">
        <f aca="false">SUMIF(C$5:C$24,G11,E$5:E$24)</f>
        <v>0</v>
      </c>
      <c r="J11" s="274" t="n">
        <f aca="false">H11*4</f>
        <v>0</v>
      </c>
      <c r="K11" s="274" t="n">
        <f aca="false">I11*4</f>
        <v>0</v>
      </c>
      <c r="L11" s="275" t="n">
        <f aca="false">H11/H$14</f>
        <v>0</v>
      </c>
      <c r="M11" s="275" t="n">
        <f aca="false">I11/I$14</f>
        <v>0</v>
      </c>
    </row>
    <row r="12" customFormat="false" ht="15" hidden="false" customHeight="true" outlineLevel="0" collapsed="false">
      <c r="B12" s="64" t="s">
        <v>92</v>
      </c>
      <c r="C12" s="272" t="n">
        <f aca="false">VLOOKUP(B12,Unidades!$D$5:$G$24,4,)</f>
        <v>0.02</v>
      </c>
      <c r="D12" s="273" t="n">
        <f aca="false">'Base Blumenau'!AD14*12+'Base Blumenau'!AE14*4+'Base Blumenau'!AF14*2+'Base Blumenau'!AG14</f>
        <v>15468.8857563729</v>
      </c>
      <c r="E12" s="273" t="n">
        <f aca="false">'Base Blumenau'!AK14*12+'Base Blumenau'!AL14*4+'Base Blumenau'!AM14*2+'Base Blumenau'!AN14</f>
        <v>18907.6190600146</v>
      </c>
      <c r="G12" s="261" t="n">
        <v>0.05</v>
      </c>
      <c r="H12" s="274" t="n">
        <f aca="false">SUMIF(C$5:C$24,G12,D$5:D$24)</f>
        <v>22528.7412887233</v>
      </c>
      <c r="I12" s="274" t="n">
        <f aca="false">SUMIF(C$5:C$24,G12,E$5:E$24)</f>
        <v>28440.2830028843</v>
      </c>
      <c r="J12" s="274" t="n">
        <f aca="false">H12*4</f>
        <v>90114.9651548931</v>
      </c>
      <c r="K12" s="274" t="n">
        <f aca="false">I12*4</f>
        <v>113761.132011537</v>
      </c>
      <c r="L12" s="275" t="n">
        <f aca="false">H12/H$14</f>
        <v>0.0859169863945969</v>
      </c>
      <c r="M12" s="275" t="n">
        <f aca="false">I12/I$14</f>
        <v>0.0880648505260107</v>
      </c>
    </row>
    <row r="13" customFormat="false" ht="15" hidden="false" customHeight="true" outlineLevel="0" collapsed="false">
      <c r="A13" s="16"/>
      <c r="B13" s="64" t="s">
        <v>94</v>
      </c>
      <c r="C13" s="272" t="n">
        <f aca="false">VLOOKUP(B13,Unidades!$D$5:$G$24,4,)</f>
        <v>0.035</v>
      </c>
      <c r="D13" s="273" t="n">
        <f aca="false">'Base Blumenau'!AD15*12+'Base Blumenau'!AE15*4+'Base Blumenau'!AF15*2+'Base Blumenau'!AG15</f>
        <v>9750.2725874919</v>
      </c>
      <c r="E13" s="273" t="n">
        <f aca="false">'Base Blumenau'!AK15*12+'Base Blumenau'!AL15*4+'Base Blumenau'!AM15*2+'Base Blumenau'!AN15</f>
        <v>12109.8385536649</v>
      </c>
      <c r="G13" s="17"/>
      <c r="IO13" s="16"/>
      <c r="IP13" s="16"/>
      <c r="IQ13" s="16"/>
      <c r="IR13" s="16"/>
      <c r="IS13" s="16"/>
      <c r="IT13" s="16"/>
      <c r="IU13" s="16"/>
      <c r="IV13" s="16"/>
      <c r="IW13" s="16"/>
      <c r="IX13" s="16"/>
      <c r="IY13" s="16"/>
      <c r="IZ13" s="16"/>
      <c r="JA13" s="16"/>
      <c r="JB13" s="16"/>
      <c r="JC13" s="16"/>
      <c r="JD13" s="16"/>
      <c r="JE13" s="16"/>
      <c r="JF13" s="16"/>
      <c r="JG13" s="16"/>
      <c r="JH13" s="16"/>
      <c r="JI13" s="16"/>
      <c r="JJ13" s="16"/>
      <c r="JK13" s="16"/>
      <c r="JL13" s="16"/>
      <c r="JM13" s="16"/>
      <c r="JN13" s="16"/>
      <c r="JO13" s="16"/>
      <c r="JP13" s="16"/>
      <c r="JQ13" s="16"/>
      <c r="JR13" s="16"/>
      <c r="JS13" s="16"/>
      <c r="JT13" s="16"/>
      <c r="JU13" s="16"/>
      <c r="JV13" s="16"/>
      <c r="JW13" s="16"/>
      <c r="JX13" s="16"/>
      <c r="JY13" s="16"/>
      <c r="JZ13" s="16"/>
      <c r="KA13" s="16"/>
      <c r="KB13" s="16"/>
      <c r="KC13" s="16"/>
      <c r="KD13" s="16"/>
      <c r="KE13" s="16"/>
      <c r="KF13" s="16"/>
      <c r="KG13" s="16"/>
      <c r="KH13" s="16"/>
      <c r="KI13" s="16"/>
      <c r="KJ13" s="16"/>
      <c r="KK13" s="16"/>
      <c r="KL13" s="16"/>
      <c r="KM13" s="16"/>
      <c r="KN13" s="16"/>
      <c r="KO13" s="16"/>
      <c r="KP13" s="16"/>
      <c r="KQ13" s="16"/>
      <c r="KR13" s="16"/>
      <c r="KS13" s="16"/>
      <c r="KT13" s="16"/>
      <c r="KU13" s="16"/>
      <c r="KV13" s="16"/>
      <c r="KW13" s="16"/>
      <c r="KX13" s="16"/>
      <c r="KY13" s="16"/>
      <c r="KZ13" s="16"/>
      <c r="LA13" s="16"/>
      <c r="LB13" s="16"/>
      <c r="LC13" s="16"/>
      <c r="LD13" s="16"/>
      <c r="LE13" s="16"/>
      <c r="LF13" s="16"/>
      <c r="LG13" s="16"/>
      <c r="LH13" s="16"/>
      <c r="LI13" s="16"/>
      <c r="LJ13" s="16"/>
      <c r="LK13" s="16"/>
      <c r="LL13" s="16"/>
      <c r="LM13" s="16"/>
      <c r="LN13" s="16"/>
      <c r="LO13" s="16"/>
      <c r="LP13" s="16"/>
      <c r="LQ13" s="16"/>
      <c r="LR13" s="16"/>
      <c r="LS13" s="16"/>
      <c r="LT13" s="16"/>
      <c r="LU13" s="16"/>
      <c r="LV13" s="16"/>
      <c r="LW13" s="16"/>
      <c r="LX13" s="16"/>
      <c r="LY13" s="16"/>
      <c r="LZ13" s="16"/>
      <c r="MA13" s="16"/>
      <c r="MB13" s="16"/>
      <c r="MC13" s="16"/>
      <c r="MD13" s="16"/>
      <c r="ME13" s="16"/>
      <c r="MF13" s="16"/>
      <c r="MG13" s="16"/>
      <c r="MH13" s="16"/>
      <c r="MI13" s="16"/>
      <c r="MJ13" s="16"/>
      <c r="MK13" s="16"/>
      <c r="ML13" s="16"/>
      <c r="MM13" s="16"/>
      <c r="MN13" s="16"/>
      <c r="MO13" s="16"/>
      <c r="MP13" s="16"/>
      <c r="MQ13" s="16"/>
      <c r="MR13" s="16"/>
      <c r="MS13" s="16"/>
      <c r="MT13" s="16"/>
      <c r="MU13" s="16"/>
      <c r="MV13" s="16"/>
      <c r="MW13" s="16"/>
      <c r="MX13" s="16"/>
      <c r="MY13" s="16"/>
      <c r="MZ13" s="16"/>
      <c r="NA13" s="16"/>
      <c r="NB13" s="16"/>
      <c r="NC13" s="16"/>
      <c r="ND13" s="16"/>
      <c r="NE13" s="16"/>
      <c r="NF13" s="16"/>
      <c r="NG13" s="16"/>
      <c r="NH13" s="16"/>
      <c r="NI13" s="16"/>
      <c r="NJ13" s="16"/>
      <c r="NK13" s="16"/>
      <c r="NL13" s="16"/>
      <c r="NM13" s="16"/>
      <c r="NN13" s="16"/>
      <c r="NO13" s="16"/>
      <c r="NP13" s="16"/>
      <c r="NQ13" s="16"/>
      <c r="NR13" s="16"/>
      <c r="NS13" s="16"/>
      <c r="NT13" s="16"/>
      <c r="NU13" s="16"/>
      <c r="NV13" s="16"/>
      <c r="NW13" s="16"/>
      <c r="NX13" s="16"/>
      <c r="NY13" s="16"/>
      <c r="NZ13" s="16"/>
      <c r="OA13" s="16"/>
      <c r="OB13" s="16"/>
      <c r="OC13" s="16"/>
      <c r="OD13" s="16"/>
      <c r="OE13" s="16"/>
      <c r="OF13" s="16"/>
      <c r="OG13" s="16"/>
      <c r="OH13" s="16"/>
      <c r="OI13" s="16"/>
      <c r="OJ13" s="16"/>
      <c r="OK13" s="16"/>
      <c r="OL13" s="16"/>
      <c r="OM13" s="16"/>
      <c r="ON13" s="16"/>
      <c r="OO13" s="16"/>
      <c r="OP13" s="16"/>
      <c r="OQ13" s="16"/>
      <c r="OR13" s="16"/>
      <c r="OS13" s="16"/>
      <c r="OT13" s="16"/>
      <c r="OU13" s="16"/>
      <c r="OV13" s="16"/>
      <c r="OW13" s="16"/>
      <c r="OX13" s="16"/>
      <c r="OY13" s="16"/>
      <c r="OZ13" s="16"/>
      <c r="PA13" s="16"/>
      <c r="PB13" s="16"/>
      <c r="PC13" s="16"/>
      <c r="PD13" s="16"/>
      <c r="PE13" s="16"/>
      <c r="PF13" s="16"/>
      <c r="PG13" s="16"/>
      <c r="PH13" s="16"/>
      <c r="PI13" s="16"/>
      <c r="PJ13" s="16"/>
      <c r="PK13" s="16"/>
      <c r="PL13" s="16"/>
      <c r="PM13" s="16"/>
      <c r="PN13" s="16"/>
      <c r="PO13" s="16"/>
      <c r="PP13" s="16"/>
      <c r="PQ13" s="16"/>
      <c r="PR13" s="16"/>
      <c r="PS13" s="16"/>
      <c r="PT13" s="16"/>
      <c r="PU13" s="16"/>
      <c r="PV13" s="16"/>
      <c r="PW13" s="16"/>
      <c r="PX13" s="16"/>
      <c r="PY13" s="16"/>
      <c r="PZ13" s="16"/>
      <c r="QA13" s="16"/>
      <c r="QB13" s="16"/>
      <c r="QC13" s="16"/>
      <c r="QD13" s="16"/>
      <c r="QE13" s="16"/>
      <c r="QF13" s="16"/>
      <c r="QG13" s="16"/>
      <c r="QH13" s="16"/>
      <c r="QI13" s="16"/>
      <c r="QJ13" s="16"/>
      <c r="QK13" s="16"/>
      <c r="QL13" s="16"/>
      <c r="QM13" s="16"/>
      <c r="QN13" s="16"/>
      <c r="QO13" s="16"/>
      <c r="QP13" s="16"/>
      <c r="QQ13" s="16"/>
      <c r="QR13" s="16"/>
      <c r="QS13" s="16"/>
      <c r="QT13" s="16"/>
      <c r="QU13" s="16"/>
      <c r="QV13" s="16"/>
      <c r="QW13" s="16"/>
      <c r="QX13" s="16"/>
      <c r="QY13" s="16"/>
      <c r="QZ13" s="16"/>
      <c r="RA13" s="16"/>
      <c r="RB13" s="16"/>
      <c r="RC13" s="16"/>
      <c r="RD13" s="16"/>
      <c r="RE13" s="16"/>
      <c r="RF13" s="16"/>
      <c r="RG13" s="16"/>
      <c r="RH13" s="16"/>
      <c r="RI13" s="16"/>
      <c r="RJ13" s="16"/>
      <c r="RK13" s="16"/>
      <c r="RL13" s="16"/>
      <c r="RM13" s="16"/>
      <c r="RN13" s="16"/>
      <c r="RO13" s="16"/>
      <c r="RP13" s="16"/>
      <c r="RQ13" s="16"/>
      <c r="RR13" s="16"/>
      <c r="RS13" s="16"/>
      <c r="RT13" s="16"/>
      <c r="RU13" s="16"/>
      <c r="RV13" s="16"/>
      <c r="RW13" s="16"/>
      <c r="RX13" s="16"/>
      <c r="RY13" s="16"/>
      <c r="RZ13" s="16"/>
      <c r="SA13" s="16"/>
      <c r="SB13" s="16"/>
      <c r="SC13" s="16"/>
      <c r="SD13" s="16"/>
      <c r="SE13" s="16"/>
      <c r="SF13" s="16"/>
      <c r="SG13" s="16"/>
      <c r="SH13" s="16"/>
      <c r="SI13" s="16"/>
      <c r="SJ13" s="16"/>
      <c r="SK13" s="16"/>
      <c r="SL13" s="16"/>
      <c r="SM13" s="16"/>
      <c r="SN13" s="16"/>
      <c r="SO13" s="16"/>
      <c r="SP13" s="16"/>
      <c r="SQ13" s="16"/>
      <c r="SR13" s="16"/>
      <c r="SS13" s="16"/>
      <c r="ST13" s="16"/>
      <c r="SU13" s="16"/>
      <c r="SV13" s="16"/>
      <c r="SW13" s="16"/>
      <c r="SX13" s="16"/>
      <c r="SY13" s="16"/>
      <c r="SZ13" s="16"/>
      <c r="TA13" s="16"/>
      <c r="TB13" s="16"/>
      <c r="TC13" s="16"/>
      <c r="TD13" s="16"/>
      <c r="TE13" s="16"/>
      <c r="TF13" s="16"/>
      <c r="TG13" s="16"/>
      <c r="TH13" s="16"/>
      <c r="TI13" s="16"/>
      <c r="TJ13" s="16"/>
      <c r="TK13" s="16"/>
      <c r="TL13" s="16"/>
      <c r="TM13" s="16"/>
      <c r="TN13" s="16"/>
      <c r="TO13" s="16"/>
      <c r="TP13" s="16"/>
      <c r="TQ13" s="16"/>
      <c r="TR13" s="16"/>
      <c r="TS13" s="16"/>
      <c r="TT13" s="16"/>
      <c r="TU13" s="16"/>
      <c r="TV13" s="16"/>
      <c r="TW13" s="16"/>
      <c r="TX13" s="16"/>
      <c r="TY13" s="16"/>
      <c r="TZ13" s="16"/>
      <c r="UA13" s="16"/>
      <c r="UB13" s="16"/>
      <c r="UC13" s="16"/>
      <c r="UD13" s="16"/>
      <c r="UE13" s="16"/>
      <c r="UF13" s="16"/>
      <c r="UG13" s="16"/>
      <c r="UH13" s="16"/>
      <c r="UI13" s="16"/>
      <c r="UJ13" s="16"/>
      <c r="UK13" s="16"/>
      <c r="UL13" s="16"/>
      <c r="UM13" s="16"/>
      <c r="UN13" s="16"/>
      <c r="UO13" s="16"/>
      <c r="UP13" s="16"/>
      <c r="UQ13" s="16"/>
      <c r="UR13" s="16"/>
      <c r="US13" s="16"/>
      <c r="UT13" s="16"/>
      <c r="UU13" s="16"/>
      <c r="UV13" s="16"/>
      <c r="UW13" s="16"/>
      <c r="UX13" s="16"/>
      <c r="UY13" s="16"/>
      <c r="UZ13" s="16"/>
      <c r="VA13" s="16"/>
      <c r="VB13" s="16"/>
      <c r="VC13" s="16"/>
      <c r="VD13" s="16"/>
      <c r="VE13" s="16"/>
      <c r="VF13" s="16"/>
      <c r="VG13" s="16"/>
      <c r="VH13" s="16"/>
      <c r="VI13" s="16"/>
      <c r="VJ13" s="16"/>
      <c r="VK13" s="16"/>
      <c r="VL13" s="16"/>
      <c r="VM13" s="16"/>
      <c r="VN13" s="16"/>
      <c r="VO13" s="16"/>
      <c r="VP13" s="16"/>
      <c r="VQ13" s="16"/>
      <c r="VR13" s="16"/>
      <c r="VS13" s="16"/>
      <c r="VT13" s="16"/>
      <c r="VU13" s="16"/>
      <c r="VV13" s="16"/>
      <c r="VW13" s="16"/>
      <c r="VX13" s="16"/>
      <c r="VY13" s="16"/>
      <c r="VZ13" s="16"/>
      <c r="WA13" s="16"/>
      <c r="WB13" s="16"/>
      <c r="WC13" s="16"/>
      <c r="WD13" s="16"/>
      <c r="WE13" s="16"/>
      <c r="WF13" s="16"/>
      <c r="WG13" s="16"/>
      <c r="WH13" s="16"/>
      <c r="WI13" s="16"/>
      <c r="WJ13" s="16"/>
      <c r="WK13" s="16"/>
      <c r="WL13" s="16"/>
      <c r="WM13" s="16"/>
      <c r="WN13" s="16"/>
      <c r="WO13" s="16"/>
      <c r="WP13" s="16"/>
      <c r="WQ13" s="16"/>
      <c r="WR13" s="16"/>
      <c r="WS13" s="16"/>
      <c r="WT13" s="16"/>
      <c r="WU13" s="16"/>
      <c r="WV13" s="16"/>
      <c r="WW13" s="16"/>
      <c r="WX13" s="16"/>
      <c r="WY13" s="16"/>
      <c r="WZ13" s="16"/>
      <c r="XA13" s="16"/>
      <c r="XB13" s="16"/>
      <c r="XC13" s="16"/>
      <c r="XD13" s="16"/>
      <c r="XE13" s="16"/>
      <c r="XF13" s="16"/>
      <c r="XG13" s="16"/>
      <c r="XH13" s="16"/>
      <c r="XI13" s="16"/>
      <c r="XJ13" s="16"/>
      <c r="XK13" s="16"/>
      <c r="XL13" s="16"/>
      <c r="XM13" s="16"/>
      <c r="XN13" s="16"/>
      <c r="XO13" s="16"/>
      <c r="XP13" s="16"/>
      <c r="XQ13" s="16"/>
      <c r="XR13" s="16"/>
      <c r="XS13" s="16"/>
      <c r="XT13" s="16"/>
      <c r="XU13" s="16"/>
      <c r="XV13" s="16"/>
      <c r="XW13" s="16"/>
      <c r="XX13" s="16"/>
      <c r="XY13" s="16"/>
      <c r="XZ13" s="16"/>
      <c r="YA13" s="16"/>
      <c r="YB13" s="16"/>
      <c r="YC13" s="16"/>
      <c r="YD13" s="16"/>
      <c r="YE13" s="16"/>
      <c r="YF13" s="16"/>
      <c r="YG13" s="16"/>
      <c r="YH13" s="16"/>
      <c r="YI13" s="16"/>
      <c r="YJ13" s="16"/>
      <c r="YK13" s="16"/>
      <c r="YL13" s="16"/>
      <c r="YM13" s="16"/>
      <c r="YN13" s="16"/>
      <c r="YO13" s="16"/>
      <c r="YP13" s="16"/>
      <c r="YQ13" s="16"/>
      <c r="YR13" s="16"/>
      <c r="YS13" s="16"/>
      <c r="YT13" s="16"/>
      <c r="YU13" s="16"/>
      <c r="YV13" s="16"/>
      <c r="YW13" s="16"/>
      <c r="YX13" s="16"/>
      <c r="YY13" s="16"/>
      <c r="YZ13" s="16"/>
      <c r="ZA13" s="16"/>
      <c r="ZB13" s="16"/>
      <c r="ZC13" s="16"/>
      <c r="ZD13" s="16"/>
      <c r="ZE13" s="16"/>
      <c r="ZF13" s="16"/>
      <c r="ZG13" s="16"/>
      <c r="ZH13" s="16"/>
      <c r="ZI13" s="16"/>
      <c r="ZJ13" s="16"/>
      <c r="ZK13" s="16"/>
      <c r="ZL13" s="16"/>
      <c r="ZM13" s="16"/>
      <c r="ZN13" s="16"/>
      <c r="ZO13" s="16"/>
      <c r="ZP13" s="16"/>
      <c r="ZQ13" s="16"/>
      <c r="ZR13" s="16"/>
      <c r="ZS13" s="16"/>
      <c r="ZT13" s="16"/>
      <c r="ZU13" s="16"/>
      <c r="ZV13" s="16"/>
      <c r="ZW13" s="16"/>
      <c r="ZX13" s="16"/>
      <c r="ZY13" s="16"/>
      <c r="ZZ13" s="16"/>
      <c r="AAA13" s="16"/>
      <c r="AAB13" s="16"/>
      <c r="AAC13" s="16"/>
      <c r="AAD13" s="16"/>
      <c r="AAE13" s="16"/>
      <c r="AAF13" s="16"/>
      <c r="AAG13" s="16"/>
      <c r="AAH13" s="16"/>
      <c r="AAI13" s="16"/>
      <c r="AAJ13" s="16"/>
      <c r="AAK13" s="16"/>
      <c r="AAL13" s="16"/>
      <c r="AAM13" s="16"/>
      <c r="AAN13" s="16"/>
      <c r="AAO13" s="16"/>
      <c r="AAP13" s="16"/>
      <c r="AAQ13" s="16"/>
      <c r="AAR13" s="16"/>
      <c r="AAS13" s="16"/>
      <c r="AAT13" s="16"/>
      <c r="AAU13" s="16"/>
      <c r="AAV13" s="16"/>
      <c r="AAW13" s="16"/>
      <c r="AAX13" s="16"/>
      <c r="AAY13" s="16"/>
      <c r="AAZ13" s="16"/>
      <c r="ABA13" s="16"/>
      <c r="ABB13" s="16"/>
      <c r="ABC13" s="16"/>
      <c r="ABD13" s="16"/>
      <c r="ABE13" s="16"/>
      <c r="ABF13" s="16"/>
      <c r="ABG13" s="16"/>
      <c r="ABH13" s="16"/>
      <c r="ABI13" s="16"/>
      <c r="ABJ13" s="16"/>
      <c r="ABK13" s="16"/>
      <c r="ABL13" s="16"/>
      <c r="ABM13" s="16"/>
      <c r="ABN13" s="16"/>
      <c r="ABO13" s="16"/>
      <c r="ABP13" s="16"/>
      <c r="ABQ13" s="16"/>
      <c r="ABR13" s="16"/>
      <c r="ABS13" s="16"/>
      <c r="ABT13" s="16"/>
      <c r="ABU13" s="16"/>
      <c r="ABV13" s="16"/>
      <c r="ABW13" s="16"/>
      <c r="ABX13" s="16"/>
      <c r="ABY13" s="16"/>
      <c r="ABZ13" s="16"/>
      <c r="ACA13" s="16"/>
      <c r="ACB13" s="16"/>
      <c r="ACC13" s="16"/>
      <c r="ACD13" s="16"/>
      <c r="ACE13" s="16"/>
      <c r="ACF13" s="16"/>
      <c r="ACG13" s="16"/>
      <c r="ACH13" s="16"/>
      <c r="ACI13" s="16"/>
      <c r="ACJ13" s="16"/>
      <c r="ACK13" s="16"/>
      <c r="ACL13" s="16"/>
      <c r="ACM13" s="16"/>
      <c r="ACN13" s="16"/>
      <c r="ACO13" s="16"/>
      <c r="ACP13" s="16"/>
      <c r="ACQ13" s="16"/>
      <c r="ACR13" s="16"/>
      <c r="ACS13" s="16"/>
      <c r="ACT13" s="16"/>
      <c r="ACU13" s="16"/>
      <c r="ACV13" s="16"/>
      <c r="ACW13" s="16"/>
      <c r="ACX13" s="16"/>
      <c r="ACY13" s="16"/>
      <c r="ACZ13" s="16"/>
      <c r="ADA13" s="16"/>
      <c r="ADB13" s="16"/>
      <c r="ADC13" s="16"/>
      <c r="ADD13" s="16"/>
      <c r="ADE13" s="16"/>
      <c r="ADF13" s="16"/>
      <c r="ADG13" s="16"/>
      <c r="ADH13" s="16"/>
      <c r="ADI13" s="16"/>
      <c r="ADJ13" s="16"/>
      <c r="ADK13" s="16"/>
      <c r="ADL13" s="16"/>
      <c r="ADM13" s="16"/>
      <c r="ADN13" s="16"/>
      <c r="ADO13" s="16"/>
      <c r="ADP13" s="16"/>
      <c r="ADQ13" s="16"/>
      <c r="ADR13" s="16"/>
      <c r="ADS13" s="16"/>
      <c r="ADT13" s="16"/>
      <c r="ADU13" s="16"/>
      <c r="ADV13" s="16"/>
      <c r="ADW13" s="16"/>
      <c r="ADX13" s="16"/>
      <c r="ADY13" s="16"/>
      <c r="ADZ13" s="16"/>
      <c r="AEA13" s="16"/>
      <c r="AEB13" s="16"/>
      <c r="AEC13" s="16"/>
      <c r="AED13" s="16"/>
      <c r="AEE13" s="16"/>
      <c r="AEF13" s="16"/>
      <c r="AEG13" s="16"/>
      <c r="AEH13" s="16"/>
      <c r="AEI13" s="16"/>
      <c r="AEJ13" s="16"/>
      <c r="AEK13" s="16"/>
      <c r="AEL13" s="16"/>
      <c r="AEM13" s="16"/>
      <c r="AEN13" s="16"/>
      <c r="AEO13" s="16"/>
      <c r="AEP13" s="16"/>
      <c r="AEQ13" s="16"/>
      <c r="AER13" s="16"/>
      <c r="AES13" s="16"/>
      <c r="AET13" s="16"/>
      <c r="AEU13" s="16"/>
      <c r="AEV13" s="16"/>
      <c r="AEW13" s="16"/>
      <c r="AEX13" s="16"/>
      <c r="AEY13" s="16"/>
      <c r="AEZ13" s="16"/>
      <c r="AFA13" s="16"/>
      <c r="AFB13" s="16"/>
      <c r="AFC13" s="16"/>
      <c r="AFD13" s="16"/>
      <c r="AFE13" s="16"/>
      <c r="AFF13" s="16"/>
      <c r="AFG13" s="16"/>
      <c r="AFH13" s="16"/>
      <c r="AFI13" s="16"/>
      <c r="AFJ13" s="16"/>
      <c r="AFK13" s="16"/>
      <c r="AFL13" s="16"/>
      <c r="AFM13" s="16"/>
      <c r="AFN13" s="16"/>
      <c r="AFO13" s="16"/>
      <c r="AFP13" s="16"/>
      <c r="AFQ13" s="16"/>
      <c r="AFR13" s="16"/>
      <c r="AFS13" s="16"/>
      <c r="AFT13" s="16"/>
      <c r="AFU13" s="16"/>
      <c r="AFV13" s="16"/>
      <c r="AFW13" s="16"/>
      <c r="AFX13" s="16"/>
      <c r="AFY13" s="16"/>
      <c r="AFZ13" s="16"/>
      <c r="AGA13" s="16"/>
      <c r="AGB13" s="16"/>
      <c r="AGC13" s="16"/>
      <c r="AGD13" s="16"/>
      <c r="AGE13" s="16"/>
      <c r="AGF13" s="16"/>
      <c r="AGG13" s="16"/>
      <c r="AGH13" s="16"/>
      <c r="AGI13" s="16"/>
      <c r="AGJ13" s="16"/>
      <c r="AGK13" s="16"/>
      <c r="AGL13" s="16"/>
      <c r="AGM13" s="16"/>
      <c r="AGN13" s="16"/>
      <c r="AGO13" s="16"/>
      <c r="AGP13" s="16"/>
      <c r="AGQ13" s="16"/>
      <c r="AGR13" s="16"/>
      <c r="AGS13" s="16"/>
      <c r="AGT13" s="16"/>
      <c r="AGU13" s="16"/>
      <c r="AGV13" s="16"/>
      <c r="AGW13" s="16"/>
      <c r="AGX13" s="16"/>
      <c r="AGY13" s="16"/>
      <c r="AGZ13" s="16"/>
      <c r="AHA13" s="16"/>
      <c r="AHB13" s="16"/>
      <c r="AHC13" s="16"/>
      <c r="AHD13" s="16"/>
      <c r="AHE13" s="16"/>
      <c r="AHF13" s="16"/>
      <c r="AHG13" s="16"/>
      <c r="AHH13" s="16"/>
      <c r="AHI13" s="16"/>
      <c r="AHJ13" s="16"/>
      <c r="AHK13" s="16"/>
      <c r="AHL13" s="16"/>
      <c r="AHM13" s="16"/>
      <c r="AHN13" s="16"/>
      <c r="AHO13" s="16"/>
      <c r="AHP13" s="16"/>
      <c r="AHQ13" s="16"/>
      <c r="AHR13" s="16"/>
      <c r="AHS13" s="16"/>
      <c r="AHT13" s="16"/>
      <c r="AHU13" s="16"/>
      <c r="AHV13" s="16"/>
      <c r="AHW13" s="16"/>
      <c r="AHX13" s="16"/>
      <c r="AHY13" s="16"/>
      <c r="AHZ13" s="16"/>
      <c r="AIA13" s="16"/>
      <c r="AIB13" s="16"/>
      <c r="AIC13" s="16"/>
      <c r="AID13" s="16"/>
      <c r="AIE13" s="16"/>
      <c r="AIF13" s="16"/>
      <c r="AIG13" s="16"/>
      <c r="AIH13" s="16"/>
      <c r="AII13" s="16"/>
      <c r="AIJ13" s="16"/>
      <c r="AIK13" s="16"/>
      <c r="AIL13" s="16"/>
      <c r="AIM13" s="16"/>
      <c r="AIN13" s="16"/>
      <c r="AIO13" s="16"/>
      <c r="AIP13" s="16"/>
      <c r="AIQ13" s="16"/>
      <c r="AIR13" s="16"/>
      <c r="AIS13" s="16"/>
      <c r="AIT13" s="16"/>
      <c r="AIU13" s="16"/>
      <c r="AIV13" s="16"/>
      <c r="AIW13" s="16"/>
      <c r="AIX13" s="16"/>
      <c r="AIY13" s="16"/>
      <c r="AIZ13" s="16"/>
      <c r="AJA13" s="16"/>
      <c r="AJB13" s="16"/>
      <c r="AJC13" s="16"/>
      <c r="AJD13" s="16"/>
      <c r="AJE13" s="16"/>
      <c r="AJF13" s="16"/>
      <c r="AJG13" s="16"/>
      <c r="AJH13" s="16"/>
      <c r="AJI13" s="16"/>
      <c r="AJJ13" s="16"/>
      <c r="AJK13" s="16"/>
      <c r="AJL13" s="16"/>
      <c r="AJM13" s="16"/>
      <c r="AJN13" s="16"/>
      <c r="AJO13" s="16"/>
      <c r="AJP13" s="16"/>
      <c r="AJQ13" s="16"/>
      <c r="AJR13" s="16"/>
      <c r="AJS13" s="16"/>
      <c r="AJT13" s="16"/>
      <c r="AJU13" s="16"/>
      <c r="AJV13" s="16"/>
      <c r="AJW13" s="16"/>
      <c r="AJX13" s="16"/>
      <c r="AJY13" s="16"/>
      <c r="AJZ13" s="16"/>
      <c r="AKA13" s="16"/>
      <c r="AKB13" s="16"/>
      <c r="AKC13" s="16"/>
      <c r="AKD13" s="16"/>
      <c r="AKE13" s="16"/>
      <c r="AKF13" s="16"/>
      <c r="AKG13" s="16"/>
      <c r="AKH13" s="16"/>
      <c r="AKI13" s="16"/>
      <c r="AKJ13" s="16"/>
      <c r="AKK13" s="16"/>
      <c r="AKL13" s="16"/>
      <c r="AKM13" s="16"/>
      <c r="AKN13" s="16"/>
      <c r="AKO13" s="16"/>
      <c r="AKP13" s="16"/>
      <c r="AKQ13" s="16"/>
      <c r="AKR13" s="16"/>
      <c r="AKS13" s="16"/>
      <c r="AKT13" s="16"/>
      <c r="AKU13" s="16"/>
      <c r="AKV13" s="16"/>
      <c r="AKW13" s="16"/>
      <c r="AKX13" s="16"/>
      <c r="AKY13" s="16"/>
      <c r="AKZ13" s="16"/>
      <c r="ALA13" s="16"/>
      <c r="ALB13" s="16"/>
      <c r="ALC13" s="16"/>
      <c r="ALD13" s="16"/>
      <c r="ALE13" s="16"/>
      <c r="ALF13" s="16"/>
      <c r="ALG13" s="16"/>
      <c r="ALH13" s="16"/>
      <c r="ALI13" s="16"/>
      <c r="ALJ13" s="16"/>
      <c r="ALK13" s="16"/>
      <c r="ALL13" s="16"/>
      <c r="ALM13" s="16"/>
      <c r="ALN13" s="16"/>
      <c r="ALO13" s="16"/>
      <c r="ALP13" s="16"/>
      <c r="ALQ13" s="16"/>
      <c r="ALR13" s="16"/>
      <c r="ALS13" s="16"/>
      <c r="ALT13" s="16"/>
      <c r="ALU13" s="16"/>
      <c r="ALV13" s="16"/>
      <c r="ALW13" s="16"/>
      <c r="ALX13" s="16"/>
      <c r="ALY13" s="16"/>
      <c r="ALZ13" s="16"/>
      <c r="AMA13" s="16"/>
      <c r="AMB13" s="16"/>
      <c r="AMC13" s="16"/>
      <c r="AMD13" s="16"/>
    </row>
    <row r="14" customFormat="false" ht="15" hidden="false" customHeight="true" outlineLevel="0" collapsed="false">
      <c r="A14" s="16"/>
      <c r="B14" s="64" t="s">
        <v>96</v>
      </c>
      <c r="C14" s="272" t="n">
        <f aca="false">VLOOKUP(B14,Unidades!$D$5:$G$24,4,)</f>
        <v>0.05</v>
      </c>
      <c r="D14" s="273" t="n">
        <f aca="false">'Base Blumenau'!AD16*12+'Base Blumenau'!AE16*4+'Base Blumenau'!AF16*2+'Base Blumenau'!AG16</f>
        <v>8914.6685874919</v>
      </c>
      <c r="E14" s="273" t="n">
        <f aca="false">'Base Blumenau'!AK16*12+'Base Blumenau'!AL16*4+'Base Blumenau'!AM16*2+'Base Blumenau'!AN16</f>
        <v>11253.8776248498</v>
      </c>
      <c r="G14" s="270" t="s">
        <v>98</v>
      </c>
      <c r="H14" s="276" t="n">
        <f aca="false">SUM(H5:H12)</f>
        <v>262215.217666667</v>
      </c>
      <c r="I14" s="276" t="n">
        <f aca="false">SUM(I5:I12)</f>
        <v>322947.042242287</v>
      </c>
      <c r="J14" s="276" t="n">
        <f aca="false">SUM(J5:J12)</f>
        <v>1048860.87066667</v>
      </c>
      <c r="K14" s="276" t="n">
        <f aca="false">SUM(K5:K12)</f>
        <v>1291788.16896915</v>
      </c>
      <c r="L14" s="277" t="n">
        <f aca="false">SUM(L5:L12)</f>
        <v>1</v>
      </c>
      <c r="M14" s="277" t="n">
        <f aca="false">SUM(M5:M12)</f>
        <v>1</v>
      </c>
      <c r="IO14" s="16"/>
      <c r="IP14" s="16"/>
      <c r="IQ14" s="16"/>
      <c r="IR14" s="16"/>
      <c r="IS14" s="16"/>
      <c r="IT14" s="16"/>
      <c r="IU14" s="16"/>
      <c r="IV14" s="16"/>
      <c r="IW14" s="16"/>
      <c r="IX14" s="16"/>
      <c r="IY14" s="16"/>
      <c r="IZ14" s="16"/>
      <c r="JA14" s="16"/>
      <c r="JB14" s="16"/>
      <c r="JC14" s="16"/>
      <c r="JD14" s="16"/>
      <c r="JE14" s="16"/>
      <c r="JF14" s="16"/>
      <c r="JG14" s="16"/>
      <c r="JH14" s="16"/>
      <c r="JI14" s="16"/>
      <c r="JJ14" s="16"/>
      <c r="JK14" s="16"/>
      <c r="JL14" s="16"/>
      <c r="JM14" s="16"/>
      <c r="JN14" s="16"/>
      <c r="JO14" s="16"/>
      <c r="JP14" s="16"/>
      <c r="JQ14" s="16"/>
      <c r="JR14" s="16"/>
      <c r="JS14" s="16"/>
      <c r="JT14" s="16"/>
      <c r="JU14" s="16"/>
      <c r="JV14" s="16"/>
      <c r="JW14" s="16"/>
      <c r="JX14" s="16"/>
      <c r="JY14" s="16"/>
      <c r="JZ14" s="16"/>
      <c r="KA14" s="16"/>
      <c r="KB14" s="16"/>
      <c r="KC14" s="16"/>
      <c r="KD14" s="16"/>
      <c r="KE14" s="16"/>
      <c r="KF14" s="16"/>
      <c r="KG14" s="16"/>
      <c r="KH14" s="16"/>
      <c r="KI14" s="16"/>
      <c r="KJ14" s="16"/>
      <c r="KK14" s="16"/>
      <c r="KL14" s="16"/>
      <c r="KM14" s="16"/>
      <c r="KN14" s="16"/>
      <c r="KO14" s="16"/>
      <c r="KP14" s="16"/>
      <c r="KQ14" s="16"/>
      <c r="KR14" s="16"/>
      <c r="KS14" s="16"/>
      <c r="KT14" s="16"/>
      <c r="KU14" s="16"/>
      <c r="KV14" s="16"/>
      <c r="KW14" s="16"/>
      <c r="KX14" s="16"/>
      <c r="KY14" s="16"/>
      <c r="KZ14" s="16"/>
      <c r="LA14" s="16"/>
      <c r="LB14" s="16"/>
      <c r="LC14" s="16"/>
      <c r="LD14" s="16"/>
      <c r="LE14" s="16"/>
      <c r="LF14" s="16"/>
      <c r="LG14" s="16"/>
      <c r="LH14" s="16"/>
      <c r="LI14" s="16"/>
      <c r="LJ14" s="16"/>
      <c r="LK14" s="16"/>
      <c r="LL14" s="16"/>
      <c r="LM14" s="16"/>
      <c r="LN14" s="16"/>
      <c r="LO14" s="16"/>
      <c r="LP14" s="16"/>
      <c r="LQ14" s="16"/>
      <c r="LR14" s="16"/>
      <c r="LS14" s="16"/>
      <c r="LT14" s="16"/>
      <c r="LU14" s="16"/>
      <c r="LV14" s="16"/>
      <c r="LW14" s="16"/>
      <c r="LX14" s="16"/>
      <c r="LY14" s="16"/>
      <c r="LZ14" s="16"/>
      <c r="MA14" s="16"/>
      <c r="MB14" s="16"/>
      <c r="MC14" s="16"/>
      <c r="MD14" s="16"/>
      <c r="ME14" s="16"/>
      <c r="MF14" s="16"/>
      <c r="MG14" s="16"/>
      <c r="MH14" s="16"/>
      <c r="MI14" s="16"/>
      <c r="MJ14" s="16"/>
      <c r="MK14" s="16"/>
      <c r="ML14" s="16"/>
      <c r="MM14" s="16"/>
      <c r="MN14" s="16"/>
      <c r="MO14" s="16"/>
      <c r="MP14" s="16"/>
      <c r="MQ14" s="16"/>
      <c r="MR14" s="16"/>
      <c r="MS14" s="16"/>
      <c r="MT14" s="16"/>
      <c r="MU14" s="16"/>
      <c r="MV14" s="16"/>
      <c r="MW14" s="16"/>
      <c r="MX14" s="16"/>
      <c r="MY14" s="16"/>
      <c r="MZ14" s="16"/>
      <c r="NA14" s="16"/>
      <c r="NB14" s="16"/>
      <c r="NC14" s="16"/>
      <c r="ND14" s="16"/>
      <c r="NE14" s="16"/>
      <c r="NF14" s="16"/>
      <c r="NG14" s="16"/>
      <c r="NH14" s="16"/>
      <c r="NI14" s="16"/>
      <c r="NJ14" s="16"/>
      <c r="NK14" s="16"/>
      <c r="NL14" s="16"/>
      <c r="NM14" s="16"/>
      <c r="NN14" s="16"/>
      <c r="NO14" s="16"/>
      <c r="NP14" s="16"/>
      <c r="NQ14" s="16"/>
      <c r="NR14" s="16"/>
      <c r="NS14" s="16"/>
      <c r="NT14" s="16"/>
      <c r="NU14" s="16"/>
      <c r="NV14" s="16"/>
      <c r="NW14" s="16"/>
      <c r="NX14" s="16"/>
      <c r="NY14" s="16"/>
      <c r="NZ14" s="16"/>
      <c r="OA14" s="16"/>
      <c r="OB14" s="16"/>
      <c r="OC14" s="16"/>
      <c r="OD14" s="16"/>
      <c r="OE14" s="16"/>
      <c r="OF14" s="16"/>
      <c r="OG14" s="16"/>
      <c r="OH14" s="16"/>
      <c r="OI14" s="16"/>
      <c r="OJ14" s="16"/>
      <c r="OK14" s="16"/>
      <c r="OL14" s="16"/>
      <c r="OM14" s="16"/>
      <c r="ON14" s="16"/>
      <c r="OO14" s="16"/>
      <c r="OP14" s="16"/>
      <c r="OQ14" s="16"/>
      <c r="OR14" s="16"/>
      <c r="OS14" s="16"/>
      <c r="OT14" s="16"/>
      <c r="OU14" s="16"/>
      <c r="OV14" s="16"/>
      <c r="OW14" s="16"/>
      <c r="OX14" s="16"/>
      <c r="OY14" s="16"/>
      <c r="OZ14" s="16"/>
      <c r="PA14" s="16"/>
      <c r="PB14" s="16"/>
      <c r="PC14" s="16"/>
      <c r="PD14" s="16"/>
      <c r="PE14" s="16"/>
      <c r="PF14" s="16"/>
      <c r="PG14" s="16"/>
      <c r="PH14" s="16"/>
      <c r="PI14" s="16"/>
      <c r="PJ14" s="16"/>
      <c r="PK14" s="16"/>
      <c r="PL14" s="16"/>
      <c r="PM14" s="16"/>
      <c r="PN14" s="16"/>
      <c r="PO14" s="16"/>
      <c r="PP14" s="16"/>
      <c r="PQ14" s="16"/>
      <c r="PR14" s="16"/>
      <c r="PS14" s="16"/>
      <c r="PT14" s="16"/>
      <c r="PU14" s="16"/>
      <c r="PV14" s="16"/>
      <c r="PW14" s="16"/>
      <c r="PX14" s="16"/>
      <c r="PY14" s="16"/>
      <c r="PZ14" s="16"/>
      <c r="QA14" s="16"/>
      <c r="QB14" s="16"/>
      <c r="QC14" s="16"/>
      <c r="QD14" s="16"/>
      <c r="QE14" s="16"/>
      <c r="QF14" s="16"/>
      <c r="QG14" s="16"/>
      <c r="QH14" s="16"/>
      <c r="QI14" s="16"/>
      <c r="QJ14" s="16"/>
      <c r="QK14" s="16"/>
      <c r="QL14" s="16"/>
      <c r="QM14" s="16"/>
      <c r="QN14" s="16"/>
      <c r="QO14" s="16"/>
      <c r="QP14" s="16"/>
      <c r="QQ14" s="16"/>
      <c r="QR14" s="16"/>
      <c r="QS14" s="16"/>
      <c r="QT14" s="16"/>
      <c r="QU14" s="16"/>
      <c r="QV14" s="16"/>
      <c r="QW14" s="16"/>
      <c r="QX14" s="16"/>
      <c r="QY14" s="16"/>
      <c r="QZ14" s="16"/>
      <c r="RA14" s="16"/>
      <c r="RB14" s="16"/>
      <c r="RC14" s="16"/>
      <c r="RD14" s="16"/>
      <c r="RE14" s="16"/>
      <c r="RF14" s="16"/>
      <c r="RG14" s="16"/>
      <c r="RH14" s="16"/>
      <c r="RI14" s="16"/>
      <c r="RJ14" s="16"/>
      <c r="RK14" s="16"/>
      <c r="RL14" s="16"/>
      <c r="RM14" s="16"/>
      <c r="RN14" s="16"/>
      <c r="RO14" s="16"/>
      <c r="RP14" s="16"/>
      <c r="RQ14" s="16"/>
      <c r="RR14" s="16"/>
      <c r="RS14" s="16"/>
      <c r="RT14" s="16"/>
      <c r="RU14" s="16"/>
      <c r="RV14" s="16"/>
      <c r="RW14" s="16"/>
      <c r="RX14" s="16"/>
      <c r="RY14" s="16"/>
      <c r="RZ14" s="16"/>
      <c r="SA14" s="16"/>
      <c r="SB14" s="16"/>
      <c r="SC14" s="16"/>
      <c r="SD14" s="16"/>
      <c r="SE14" s="16"/>
      <c r="SF14" s="16"/>
      <c r="SG14" s="16"/>
      <c r="SH14" s="16"/>
      <c r="SI14" s="16"/>
      <c r="SJ14" s="16"/>
      <c r="SK14" s="16"/>
      <c r="SL14" s="16"/>
      <c r="SM14" s="16"/>
      <c r="SN14" s="16"/>
      <c r="SO14" s="16"/>
      <c r="SP14" s="16"/>
      <c r="SQ14" s="16"/>
      <c r="SR14" s="16"/>
      <c r="SS14" s="16"/>
      <c r="ST14" s="16"/>
      <c r="SU14" s="16"/>
      <c r="SV14" s="16"/>
      <c r="SW14" s="16"/>
      <c r="SX14" s="16"/>
      <c r="SY14" s="16"/>
      <c r="SZ14" s="16"/>
      <c r="TA14" s="16"/>
      <c r="TB14" s="16"/>
      <c r="TC14" s="16"/>
      <c r="TD14" s="16"/>
      <c r="TE14" s="16"/>
      <c r="TF14" s="16"/>
      <c r="TG14" s="16"/>
      <c r="TH14" s="16"/>
      <c r="TI14" s="16"/>
      <c r="TJ14" s="16"/>
      <c r="TK14" s="16"/>
      <c r="TL14" s="16"/>
      <c r="TM14" s="16"/>
      <c r="TN14" s="16"/>
      <c r="TO14" s="16"/>
      <c r="TP14" s="16"/>
      <c r="TQ14" s="16"/>
      <c r="TR14" s="16"/>
      <c r="TS14" s="16"/>
      <c r="TT14" s="16"/>
      <c r="TU14" s="16"/>
      <c r="TV14" s="16"/>
      <c r="TW14" s="16"/>
      <c r="TX14" s="16"/>
      <c r="TY14" s="16"/>
      <c r="TZ14" s="16"/>
      <c r="UA14" s="16"/>
      <c r="UB14" s="16"/>
      <c r="UC14" s="16"/>
      <c r="UD14" s="16"/>
      <c r="UE14" s="16"/>
      <c r="UF14" s="16"/>
      <c r="UG14" s="16"/>
      <c r="UH14" s="16"/>
      <c r="UI14" s="16"/>
      <c r="UJ14" s="16"/>
      <c r="UK14" s="16"/>
      <c r="UL14" s="16"/>
      <c r="UM14" s="16"/>
      <c r="UN14" s="16"/>
      <c r="UO14" s="16"/>
      <c r="UP14" s="16"/>
      <c r="UQ14" s="16"/>
      <c r="UR14" s="16"/>
      <c r="US14" s="16"/>
      <c r="UT14" s="16"/>
      <c r="UU14" s="16"/>
      <c r="UV14" s="16"/>
      <c r="UW14" s="16"/>
      <c r="UX14" s="16"/>
      <c r="UY14" s="16"/>
      <c r="UZ14" s="16"/>
      <c r="VA14" s="16"/>
      <c r="VB14" s="16"/>
      <c r="VC14" s="16"/>
      <c r="VD14" s="16"/>
      <c r="VE14" s="16"/>
      <c r="VF14" s="16"/>
      <c r="VG14" s="16"/>
      <c r="VH14" s="16"/>
      <c r="VI14" s="16"/>
      <c r="VJ14" s="16"/>
      <c r="VK14" s="16"/>
      <c r="VL14" s="16"/>
      <c r="VM14" s="16"/>
      <c r="VN14" s="16"/>
      <c r="VO14" s="16"/>
      <c r="VP14" s="16"/>
      <c r="VQ14" s="16"/>
      <c r="VR14" s="16"/>
      <c r="VS14" s="16"/>
      <c r="VT14" s="16"/>
      <c r="VU14" s="16"/>
      <c r="VV14" s="16"/>
      <c r="VW14" s="16"/>
      <c r="VX14" s="16"/>
      <c r="VY14" s="16"/>
      <c r="VZ14" s="16"/>
      <c r="WA14" s="16"/>
      <c r="WB14" s="16"/>
      <c r="WC14" s="16"/>
      <c r="WD14" s="16"/>
      <c r="WE14" s="16"/>
      <c r="WF14" s="16"/>
      <c r="WG14" s="16"/>
      <c r="WH14" s="16"/>
      <c r="WI14" s="16"/>
      <c r="WJ14" s="16"/>
      <c r="WK14" s="16"/>
      <c r="WL14" s="16"/>
      <c r="WM14" s="16"/>
      <c r="WN14" s="16"/>
      <c r="WO14" s="16"/>
      <c r="WP14" s="16"/>
      <c r="WQ14" s="16"/>
      <c r="WR14" s="16"/>
      <c r="WS14" s="16"/>
      <c r="WT14" s="16"/>
      <c r="WU14" s="16"/>
      <c r="WV14" s="16"/>
      <c r="WW14" s="16"/>
      <c r="WX14" s="16"/>
      <c r="WY14" s="16"/>
      <c r="WZ14" s="16"/>
      <c r="XA14" s="16"/>
      <c r="XB14" s="16"/>
      <c r="XC14" s="16"/>
      <c r="XD14" s="16"/>
      <c r="XE14" s="16"/>
      <c r="XF14" s="16"/>
      <c r="XG14" s="16"/>
      <c r="XH14" s="16"/>
      <c r="XI14" s="16"/>
      <c r="XJ14" s="16"/>
      <c r="XK14" s="16"/>
      <c r="XL14" s="16"/>
      <c r="XM14" s="16"/>
      <c r="XN14" s="16"/>
      <c r="XO14" s="16"/>
      <c r="XP14" s="16"/>
      <c r="XQ14" s="16"/>
      <c r="XR14" s="16"/>
      <c r="XS14" s="16"/>
      <c r="XT14" s="16"/>
      <c r="XU14" s="16"/>
      <c r="XV14" s="16"/>
      <c r="XW14" s="16"/>
      <c r="XX14" s="16"/>
      <c r="XY14" s="16"/>
      <c r="XZ14" s="16"/>
      <c r="YA14" s="16"/>
      <c r="YB14" s="16"/>
      <c r="YC14" s="16"/>
      <c r="YD14" s="16"/>
      <c r="YE14" s="16"/>
      <c r="YF14" s="16"/>
      <c r="YG14" s="16"/>
      <c r="YH14" s="16"/>
      <c r="YI14" s="16"/>
      <c r="YJ14" s="16"/>
      <c r="YK14" s="16"/>
      <c r="YL14" s="16"/>
      <c r="YM14" s="16"/>
      <c r="YN14" s="16"/>
      <c r="YO14" s="16"/>
      <c r="YP14" s="16"/>
      <c r="YQ14" s="16"/>
      <c r="YR14" s="16"/>
      <c r="YS14" s="16"/>
      <c r="YT14" s="16"/>
      <c r="YU14" s="16"/>
      <c r="YV14" s="16"/>
      <c r="YW14" s="16"/>
      <c r="YX14" s="16"/>
      <c r="YY14" s="16"/>
      <c r="YZ14" s="16"/>
      <c r="ZA14" s="16"/>
      <c r="ZB14" s="16"/>
      <c r="ZC14" s="16"/>
      <c r="ZD14" s="16"/>
      <c r="ZE14" s="16"/>
      <c r="ZF14" s="16"/>
      <c r="ZG14" s="16"/>
      <c r="ZH14" s="16"/>
      <c r="ZI14" s="16"/>
      <c r="ZJ14" s="16"/>
      <c r="ZK14" s="16"/>
      <c r="ZL14" s="16"/>
      <c r="ZM14" s="16"/>
      <c r="ZN14" s="16"/>
      <c r="ZO14" s="16"/>
      <c r="ZP14" s="16"/>
      <c r="ZQ14" s="16"/>
      <c r="ZR14" s="16"/>
      <c r="ZS14" s="16"/>
      <c r="ZT14" s="16"/>
      <c r="ZU14" s="16"/>
      <c r="ZV14" s="16"/>
      <c r="ZW14" s="16"/>
      <c r="ZX14" s="16"/>
      <c r="ZY14" s="16"/>
      <c r="ZZ14" s="16"/>
      <c r="AAA14" s="16"/>
      <c r="AAB14" s="16"/>
      <c r="AAC14" s="16"/>
      <c r="AAD14" s="16"/>
      <c r="AAE14" s="16"/>
      <c r="AAF14" s="16"/>
      <c r="AAG14" s="16"/>
      <c r="AAH14" s="16"/>
      <c r="AAI14" s="16"/>
      <c r="AAJ14" s="16"/>
      <c r="AAK14" s="16"/>
      <c r="AAL14" s="16"/>
      <c r="AAM14" s="16"/>
      <c r="AAN14" s="16"/>
      <c r="AAO14" s="16"/>
      <c r="AAP14" s="16"/>
      <c r="AAQ14" s="16"/>
      <c r="AAR14" s="16"/>
      <c r="AAS14" s="16"/>
      <c r="AAT14" s="16"/>
      <c r="AAU14" s="16"/>
      <c r="AAV14" s="16"/>
      <c r="AAW14" s="16"/>
      <c r="AAX14" s="16"/>
      <c r="AAY14" s="16"/>
      <c r="AAZ14" s="16"/>
      <c r="ABA14" s="16"/>
      <c r="ABB14" s="16"/>
      <c r="ABC14" s="16"/>
      <c r="ABD14" s="16"/>
      <c r="ABE14" s="16"/>
      <c r="ABF14" s="16"/>
      <c r="ABG14" s="16"/>
      <c r="ABH14" s="16"/>
      <c r="ABI14" s="16"/>
      <c r="ABJ14" s="16"/>
      <c r="ABK14" s="16"/>
      <c r="ABL14" s="16"/>
      <c r="ABM14" s="16"/>
      <c r="ABN14" s="16"/>
      <c r="ABO14" s="16"/>
      <c r="ABP14" s="16"/>
      <c r="ABQ14" s="16"/>
      <c r="ABR14" s="16"/>
      <c r="ABS14" s="16"/>
      <c r="ABT14" s="16"/>
      <c r="ABU14" s="16"/>
      <c r="ABV14" s="16"/>
      <c r="ABW14" s="16"/>
      <c r="ABX14" s="16"/>
      <c r="ABY14" s="16"/>
      <c r="ABZ14" s="16"/>
      <c r="ACA14" s="16"/>
      <c r="ACB14" s="16"/>
      <c r="ACC14" s="16"/>
      <c r="ACD14" s="16"/>
      <c r="ACE14" s="16"/>
      <c r="ACF14" s="16"/>
      <c r="ACG14" s="16"/>
      <c r="ACH14" s="16"/>
      <c r="ACI14" s="16"/>
      <c r="ACJ14" s="16"/>
      <c r="ACK14" s="16"/>
      <c r="ACL14" s="16"/>
      <c r="ACM14" s="16"/>
      <c r="ACN14" s="16"/>
      <c r="ACO14" s="16"/>
      <c r="ACP14" s="16"/>
      <c r="ACQ14" s="16"/>
      <c r="ACR14" s="16"/>
      <c r="ACS14" s="16"/>
      <c r="ACT14" s="16"/>
      <c r="ACU14" s="16"/>
      <c r="ACV14" s="16"/>
      <c r="ACW14" s="16"/>
      <c r="ACX14" s="16"/>
      <c r="ACY14" s="16"/>
      <c r="ACZ14" s="16"/>
      <c r="ADA14" s="16"/>
      <c r="ADB14" s="16"/>
      <c r="ADC14" s="16"/>
      <c r="ADD14" s="16"/>
      <c r="ADE14" s="16"/>
      <c r="ADF14" s="16"/>
      <c r="ADG14" s="16"/>
      <c r="ADH14" s="16"/>
      <c r="ADI14" s="16"/>
      <c r="ADJ14" s="16"/>
      <c r="ADK14" s="16"/>
      <c r="ADL14" s="16"/>
      <c r="ADM14" s="16"/>
      <c r="ADN14" s="16"/>
      <c r="ADO14" s="16"/>
      <c r="ADP14" s="16"/>
      <c r="ADQ14" s="16"/>
      <c r="ADR14" s="16"/>
      <c r="ADS14" s="16"/>
      <c r="ADT14" s="16"/>
      <c r="ADU14" s="16"/>
      <c r="ADV14" s="16"/>
      <c r="ADW14" s="16"/>
      <c r="ADX14" s="16"/>
      <c r="ADY14" s="16"/>
      <c r="ADZ14" s="16"/>
      <c r="AEA14" s="16"/>
      <c r="AEB14" s="16"/>
      <c r="AEC14" s="16"/>
      <c r="AED14" s="16"/>
      <c r="AEE14" s="16"/>
      <c r="AEF14" s="16"/>
      <c r="AEG14" s="16"/>
      <c r="AEH14" s="16"/>
      <c r="AEI14" s="16"/>
      <c r="AEJ14" s="16"/>
      <c r="AEK14" s="16"/>
      <c r="AEL14" s="16"/>
      <c r="AEM14" s="16"/>
      <c r="AEN14" s="16"/>
      <c r="AEO14" s="16"/>
      <c r="AEP14" s="16"/>
      <c r="AEQ14" s="16"/>
      <c r="AER14" s="16"/>
      <c r="AES14" s="16"/>
      <c r="AET14" s="16"/>
      <c r="AEU14" s="16"/>
      <c r="AEV14" s="16"/>
      <c r="AEW14" s="16"/>
      <c r="AEX14" s="16"/>
      <c r="AEY14" s="16"/>
      <c r="AEZ14" s="16"/>
      <c r="AFA14" s="16"/>
      <c r="AFB14" s="16"/>
      <c r="AFC14" s="16"/>
      <c r="AFD14" s="16"/>
      <c r="AFE14" s="16"/>
      <c r="AFF14" s="16"/>
      <c r="AFG14" s="16"/>
      <c r="AFH14" s="16"/>
      <c r="AFI14" s="16"/>
      <c r="AFJ14" s="16"/>
      <c r="AFK14" s="16"/>
      <c r="AFL14" s="16"/>
      <c r="AFM14" s="16"/>
      <c r="AFN14" s="16"/>
      <c r="AFO14" s="16"/>
      <c r="AFP14" s="16"/>
      <c r="AFQ14" s="16"/>
      <c r="AFR14" s="16"/>
      <c r="AFS14" s="16"/>
      <c r="AFT14" s="16"/>
      <c r="AFU14" s="16"/>
      <c r="AFV14" s="16"/>
      <c r="AFW14" s="16"/>
      <c r="AFX14" s="16"/>
      <c r="AFY14" s="16"/>
      <c r="AFZ14" s="16"/>
      <c r="AGA14" s="16"/>
      <c r="AGB14" s="16"/>
      <c r="AGC14" s="16"/>
      <c r="AGD14" s="16"/>
      <c r="AGE14" s="16"/>
      <c r="AGF14" s="16"/>
      <c r="AGG14" s="16"/>
      <c r="AGH14" s="16"/>
      <c r="AGI14" s="16"/>
      <c r="AGJ14" s="16"/>
      <c r="AGK14" s="16"/>
      <c r="AGL14" s="16"/>
      <c r="AGM14" s="16"/>
      <c r="AGN14" s="16"/>
      <c r="AGO14" s="16"/>
      <c r="AGP14" s="16"/>
      <c r="AGQ14" s="16"/>
      <c r="AGR14" s="16"/>
      <c r="AGS14" s="16"/>
      <c r="AGT14" s="16"/>
      <c r="AGU14" s="16"/>
      <c r="AGV14" s="16"/>
      <c r="AGW14" s="16"/>
      <c r="AGX14" s="16"/>
      <c r="AGY14" s="16"/>
      <c r="AGZ14" s="16"/>
      <c r="AHA14" s="16"/>
      <c r="AHB14" s="16"/>
      <c r="AHC14" s="16"/>
      <c r="AHD14" s="16"/>
      <c r="AHE14" s="16"/>
      <c r="AHF14" s="16"/>
      <c r="AHG14" s="16"/>
      <c r="AHH14" s="16"/>
      <c r="AHI14" s="16"/>
      <c r="AHJ14" s="16"/>
      <c r="AHK14" s="16"/>
      <c r="AHL14" s="16"/>
      <c r="AHM14" s="16"/>
      <c r="AHN14" s="16"/>
      <c r="AHO14" s="16"/>
      <c r="AHP14" s="16"/>
      <c r="AHQ14" s="16"/>
      <c r="AHR14" s="16"/>
      <c r="AHS14" s="16"/>
      <c r="AHT14" s="16"/>
      <c r="AHU14" s="16"/>
      <c r="AHV14" s="16"/>
      <c r="AHW14" s="16"/>
      <c r="AHX14" s="16"/>
      <c r="AHY14" s="16"/>
      <c r="AHZ14" s="16"/>
      <c r="AIA14" s="16"/>
      <c r="AIB14" s="16"/>
      <c r="AIC14" s="16"/>
      <c r="AID14" s="16"/>
      <c r="AIE14" s="16"/>
      <c r="AIF14" s="16"/>
      <c r="AIG14" s="16"/>
      <c r="AIH14" s="16"/>
      <c r="AII14" s="16"/>
      <c r="AIJ14" s="16"/>
      <c r="AIK14" s="16"/>
      <c r="AIL14" s="16"/>
      <c r="AIM14" s="16"/>
      <c r="AIN14" s="16"/>
      <c r="AIO14" s="16"/>
      <c r="AIP14" s="16"/>
      <c r="AIQ14" s="16"/>
      <c r="AIR14" s="16"/>
      <c r="AIS14" s="16"/>
      <c r="AIT14" s="16"/>
      <c r="AIU14" s="16"/>
      <c r="AIV14" s="16"/>
      <c r="AIW14" s="16"/>
      <c r="AIX14" s="16"/>
      <c r="AIY14" s="16"/>
      <c r="AIZ14" s="16"/>
      <c r="AJA14" s="16"/>
      <c r="AJB14" s="16"/>
      <c r="AJC14" s="16"/>
      <c r="AJD14" s="16"/>
      <c r="AJE14" s="16"/>
      <c r="AJF14" s="16"/>
      <c r="AJG14" s="16"/>
      <c r="AJH14" s="16"/>
      <c r="AJI14" s="16"/>
      <c r="AJJ14" s="16"/>
      <c r="AJK14" s="16"/>
      <c r="AJL14" s="16"/>
      <c r="AJM14" s="16"/>
      <c r="AJN14" s="16"/>
      <c r="AJO14" s="16"/>
      <c r="AJP14" s="16"/>
      <c r="AJQ14" s="16"/>
      <c r="AJR14" s="16"/>
      <c r="AJS14" s="16"/>
      <c r="AJT14" s="16"/>
      <c r="AJU14" s="16"/>
      <c r="AJV14" s="16"/>
      <c r="AJW14" s="16"/>
      <c r="AJX14" s="16"/>
      <c r="AJY14" s="16"/>
      <c r="AJZ14" s="16"/>
      <c r="AKA14" s="16"/>
      <c r="AKB14" s="16"/>
      <c r="AKC14" s="16"/>
      <c r="AKD14" s="16"/>
      <c r="AKE14" s="16"/>
      <c r="AKF14" s="16"/>
      <c r="AKG14" s="16"/>
      <c r="AKH14" s="16"/>
      <c r="AKI14" s="16"/>
      <c r="AKJ14" s="16"/>
      <c r="AKK14" s="16"/>
      <c r="AKL14" s="16"/>
      <c r="AKM14" s="16"/>
      <c r="AKN14" s="16"/>
      <c r="AKO14" s="16"/>
      <c r="AKP14" s="16"/>
      <c r="AKQ14" s="16"/>
      <c r="AKR14" s="16"/>
      <c r="AKS14" s="16"/>
      <c r="AKT14" s="16"/>
      <c r="AKU14" s="16"/>
      <c r="AKV14" s="16"/>
      <c r="AKW14" s="16"/>
      <c r="AKX14" s="16"/>
      <c r="AKY14" s="16"/>
      <c r="AKZ14" s="16"/>
      <c r="ALA14" s="16"/>
      <c r="ALB14" s="16"/>
      <c r="ALC14" s="16"/>
      <c r="ALD14" s="16"/>
      <c r="ALE14" s="16"/>
      <c r="ALF14" s="16"/>
      <c r="ALG14" s="16"/>
      <c r="ALH14" s="16"/>
      <c r="ALI14" s="16"/>
      <c r="ALJ14" s="16"/>
      <c r="ALK14" s="16"/>
      <c r="ALL14" s="16"/>
      <c r="ALM14" s="16"/>
      <c r="ALN14" s="16"/>
      <c r="ALO14" s="16"/>
      <c r="ALP14" s="16"/>
      <c r="ALQ14" s="16"/>
      <c r="ALR14" s="16"/>
      <c r="ALS14" s="16"/>
      <c r="ALT14" s="16"/>
      <c r="ALU14" s="16"/>
      <c r="ALV14" s="16"/>
      <c r="ALW14" s="16"/>
      <c r="ALX14" s="16"/>
      <c r="ALY14" s="16"/>
      <c r="ALZ14" s="16"/>
      <c r="AMA14" s="16"/>
      <c r="AMB14" s="16"/>
      <c r="AMC14" s="16"/>
      <c r="AMD14" s="16"/>
    </row>
    <row r="15" customFormat="false" ht="15" hidden="false" customHeight="true" outlineLevel="0" collapsed="false">
      <c r="A15" s="16"/>
      <c r="B15" s="64" t="s">
        <v>97</v>
      </c>
      <c r="C15" s="272" t="n">
        <f aca="false">VLOOKUP(B15,Unidades!$D$5:$G$24,4,)</f>
        <v>0.05</v>
      </c>
      <c r="D15" s="273" t="n">
        <f aca="false">'Base Blumenau'!AD17*12+'Base Blumenau'!AE17*4+'Base Blumenau'!AF17*2+'Base Blumenau'!AG17</f>
        <v>13614.0727012314</v>
      </c>
      <c r="E15" s="273" t="n">
        <f aca="false">'Base Blumenau'!AK17*12+'Base Blumenau'!AL17*4+'Base Blumenau'!AM17*2+'Base Blumenau'!AN17</f>
        <v>17186.4053780345</v>
      </c>
      <c r="IO15" s="16"/>
      <c r="IP15" s="16"/>
      <c r="IQ15" s="16"/>
      <c r="IR15" s="16"/>
      <c r="IS15" s="16"/>
      <c r="IT15" s="16"/>
      <c r="IU15" s="16"/>
      <c r="IV15" s="16"/>
      <c r="IW15" s="16"/>
      <c r="IX15" s="16"/>
      <c r="IY15" s="16"/>
      <c r="IZ15" s="16"/>
      <c r="JA15" s="16"/>
      <c r="JB15" s="16"/>
      <c r="JC15" s="16"/>
      <c r="JD15" s="16"/>
      <c r="JE15" s="16"/>
      <c r="JF15" s="16"/>
      <c r="JG15" s="16"/>
      <c r="JH15" s="16"/>
      <c r="JI15" s="16"/>
      <c r="JJ15" s="16"/>
      <c r="JK15" s="16"/>
      <c r="JL15" s="16"/>
      <c r="JM15" s="16"/>
      <c r="JN15" s="16"/>
      <c r="JO15" s="16"/>
      <c r="JP15" s="16"/>
      <c r="JQ15" s="16"/>
      <c r="JR15" s="16"/>
      <c r="JS15" s="16"/>
      <c r="JT15" s="16"/>
      <c r="JU15" s="16"/>
      <c r="JV15" s="16"/>
      <c r="JW15" s="16"/>
      <c r="JX15" s="16"/>
      <c r="JY15" s="16"/>
      <c r="JZ15" s="16"/>
      <c r="KA15" s="16"/>
      <c r="KB15" s="16"/>
      <c r="KC15" s="16"/>
      <c r="KD15" s="16"/>
      <c r="KE15" s="16"/>
      <c r="KF15" s="16"/>
      <c r="KG15" s="16"/>
      <c r="KH15" s="16"/>
      <c r="KI15" s="16"/>
      <c r="KJ15" s="16"/>
      <c r="KK15" s="16"/>
      <c r="KL15" s="16"/>
      <c r="KM15" s="16"/>
      <c r="KN15" s="16"/>
      <c r="KO15" s="16"/>
      <c r="KP15" s="16"/>
      <c r="KQ15" s="16"/>
      <c r="KR15" s="16"/>
      <c r="KS15" s="16"/>
      <c r="KT15" s="16"/>
      <c r="KU15" s="16"/>
      <c r="KV15" s="16"/>
      <c r="KW15" s="16"/>
      <c r="KX15" s="16"/>
      <c r="KY15" s="16"/>
      <c r="KZ15" s="16"/>
      <c r="LA15" s="16"/>
      <c r="LB15" s="16"/>
      <c r="LC15" s="16"/>
      <c r="LD15" s="16"/>
      <c r="LE15" s="16"/>
      <c r="LF15" s="16"/>
      <c r="LG15" s="16"/>
      <c r="LH15" s="16"/>
      <c r="LI15" s="16"/>
      <c r="LJ15" s="16"/>
      <c r="LK15" s="16"/>
      <c r="LL15" s="16"/>
      <c r="LM15" s="16"/>
      <c r="LN15" s="16"/>
      <c r="LO15" s="16"/>
      <c r="LP15" s="16"/>
      <c r="LQ15" s="16"/>
      <c r="LR15" s="16"/>
      <c r="LS15" s="16"/>
      <c r="LT15" s="16"/>
      <c r="LU15" s="16"/>
      <c r="LV15" s="16"/>
      <c r="LW15" s="16"/>
      <c r="LX15" s="16"/>
      <c r="LY15" s="16"/>
      <c r="LZ15" s="16"/>
      <c r="MA15" s="16"/>
      <c r="MB15" s="16"/>
      <c r="MC15" s="16"/>
      <c r="MD15" s="16"/>
      <c r="ME15" s="16"/>
      <c r="MF15" s="16"/>
      <c r="MG15" s="16"/>
      <c r="MH15" s="16"/>
      <c r="MI15" s="16"/>
      <c r="MJ15" s="16"/>
      <c r="MK15" s="16"/>
      <c r="ML15" s="16"/>
      <c r="MM15" s="16"/>
      <c r="MN15" s="16"/>
      <c r="MO15" s="16"/>
      <c r="MP15" s="16"/>
      <c r="MQ15" s="16"/>
      <c r="MR15" s="16"/>
      <c r="MS15" s="16"/>
      <c r="MT15" s="16"/>
      <c r="MU15" s="16"/>
      <c r="MV15" s="16"/>
      <c r="MW15" s="16"/>
      <c r="MX15" s="16"/>
      <c r="MY15" s="16"/>
      <c r="MZ15" s="16"/>
      <c r="NA15" s="16"/>
      <c r="NB15" s="16"/>
      <c r="NC15" s="16"/>
      <c r="ND15" s="16"/>
      <c r="NE15" s="16"/>
      <c r="NF15" s="16"/>
      <c r="NG15" s="16"/>
      <c r="NH15" s="16"/>
      <c r="NI15" s="16"/>
      <c r="NJ15" s="16"/>
      <c r="NK15" s="16"/>
      <c r="NL15" s="16"/>
      <c r="NM15" s="16"/>
      <c r="NN15" s="16"/>
      <c r="NO15" s="16"/>
      <c r="NP15" s="16"/>
      <c r="NQ15" s="16"/>
      <c r="NR15" s="16"/>
      <c r="NS15" s="16"/>
      <c r="NT15" s="16"/>
      <c r="NU15" s="16"/>
      <c r="NV15" s="16"/>
      <c r="NW15" s="16"/>
      <c r="NX15" s="16"/>
      <c r="NY15" s="16"/>
      <c r="NZ15" s="16"/>
      <c r="OA15" s="16"/>
      <c r="OB15" s="16"/>
      <c r="OC15" s="16"/>
      <c r="OD15" s="16"/>
      <c r="OE15" s="16"/>
      <c r="OF15" s="16"/>
      <c r="OG15" s="16"/>
      <c r="OH15" s="16"/>
      <c r="OI15" s="16"/>
      <c r="OJ15" s="16"/>
      <c r="OK15" s="16"/>
      <c r="OL15" s="16"/>
      <c r="OM15" s="16"/>
      <c r="ON15" s="16"/>
      <c r="OO15" s="16"/>
      <c r="OP15" s="16"/>
      <c r="OQ15" s="16"/>
      <c r="OR15" s="16"/>
      <c r="OS15" s="16"/>
      <c r="OT15" s="16"/>
      <c r="OU15" s="16"/>
      <c r="OV15" s="16"/>
      <c r="OW15" s="16"/>
      <c r="OX15" s="16"/>
      <c r="OY15" s="16"/>
      <c r="OZ15" s="16"/>
      <c r="PA15" s="16"/>
      <c r="PB15" s="16"/>
      <c r="PC15" s="16"/>
      <c r="PD15" s="16"/>
      <c r="PE15" s="16"/>
      <c r="PF15" s="16"/>
      <c r="PG15" s="16"/>
      <c r="PH15" s="16"/>
      <c r="PI15" s="16"/>
      <c r="PJ15" s="16"/>
      <c r="PK15" s="16"/>
      <c r="PL15" s="16"/>
      <c r="PM15" s="16"/>
      <c r="PN15" s="16"/>
      <c r="PO15" s="16"/>
      <c r="PP15" s="16"/>
      <c r="PQ15" s="16"/>
      <c r="PR15" s="16"/>
      <c r="PS15" s="16"/>
      <c r="PT15" s="16"/>
      <c r="PU15" s="16"/>
      <c r="PV15" s="16"/>
      <c r="PW15" s="16"/>
      <c r="PX15" s="16"/>
      <c r="PY15" s="16"/>
      <c r="PZ15" s="16"/>
      <c r="QA15" s="16"/>
      <c r="QB15" s="16"/>
      <c r="QC15" s="16"/>
      <c r="QD15" s="16"/>
      <c r="QE15" s="16"/>
      <c r="QF15" s="16"/>
      <c r="QG15" s="16"/>
      <c r="QH15" s="16"/>
      <c r="QI15" s="16"/>
      <c r="QJ15" s="16"/>
      <c r="QK15" s="16"/>
      <c r="QL15" s="16"/>
      <c r="QM15" s="16"/>
      <c r="QN15" s="16"/>
      <c r="QO15" s="16"/>
      <c r="QP15" s="16"/>
      <c r="QQ15" s="16"/>
      <c r="QR15" s="16"/>
      <c r="QS15" s="16"/>
      <c r="QT15" s="16"/>
      <c r="QU15" s="16"/>
      <c r="QV15" s="16"/>
      <c r="QW15" s="16"/>
      <c r="QX15" s="16"/>
      <c r="QY15" s="16"/>
      <c r="QZ15" s="16"/>
      <c r="RA15" s="16"/>
      <c r="RB15" s="16"/>
      <c r="RC15" s="16"/>
      <c r="RD15" s="16"/>
      <c r="RE15" s="16"/>
      <c r="RF15" s="16"/>
      <c r="RG15" s="16"/>
      <c r="RH15" s="16"/>
      <c r="RI15" s="16"/>
      <c r="RJ15" s="16"/>
      <c r="RK15" s="16"/>
      <c r="RL15" s="16"/>
      <c r="RM15" s="16"/>
      <c r="RN15" s="16"/>
      <c r="RO15" s="16"/>
      <c r="RP15" s="16"/>
      <c r="RQ15" s="16"/>
      <c r="RR15" s="16"/>
      <c r="RS15" s="16"/>
      <c r="RT15" s="16"/>
      <c r="RU15" s="16"/>
      <c r="RV15" s="16"/>
      <c r="RW15" s="16"/>
      <c r="RX15" s="16"/>
      <c r="RY15" s="16"/>
      <c r="RZ15" s="16"/>
      <c r="SA15" s="16"/>
      <c r="SB15" s="16"/>
      <c r="SC15" s="16"/>
      <c r="SD15" s="16"/>
      <c r="SE15" s="16"/>
      <c r="SF15" s="16"/>
      <c r="SG15" s="16"/>
      <c r="SH15" s="16"/>
      <c r="SI15" s="16"/>
      <c r="SJ15" s="16"/>
      <c r="SK15" s="16"/>
      <c r="SL15" s="16"/>
      <c r="SM15" s="16"/>
      <c r="SN15" s="16"/>
      <c r="SO15" s="16"/>
      <c r="SP15" s="16"/>
      <c r="SQ15" s="16"/>
      <c r="SR15" s="16"/>
      <c r="SS15" s="16"/>
      <c r="ST15" s="16"/>
      <c r="SU15" s="16"/>
      <c r="SV15" s="16"/>
      <c r="SW15" s="16"/>
      <c r="SX15" s="16"/>
      <c r="SY15" s="16"/>
      <c r="SZ15" s="16"/>
      <c r="TA15" s="16"/>
      <c r="TB15" s="16"/>
      <c r="TC15" s="16"/>
      <c r="TD15" s="16"/>
      <c r="TE15" s="16"/>
      <c r="TF15" s="16"/>
      <c r="TG15" s="16"/>
      <c r="TH15" s="16"/>
      <c r="TI15" s="16"/>
      <c r="TJ15" s="16"/>
      <c r="TK15" s="16"/>
      <c r="TL15" s="16"/>
      <c r="TM15" s="16"/>
      <c r="TN15" s="16"/>
      <c r="TO15" s="16"/>
      <c r="TP15" s="16"/>
      <c r="TQ15" s="16"/>
      <c r="TR15" s="16"/>
      <c r="TS15" s="16"/>
      <c r="TT15" s="16"/>
      <c r="TU15" s="16"/>
      <c r="TV15" s="16"/>
      <c r="TW15" s="16"/>
      <c r="TX15" s="16"/>
      <c r="TY15" s="16"/>
      <c r="TZ15" s="16"/>
      <c r="UA15" s="16"/>
      <c r="UB15" s="16"/>
      <c r="UC15" s="16"/>
      <c r="UD15" s="16"/>
      <c r="UE15" s="16"/>
      <c r="UF15" s="16"/>
      <c r="UG15" s="16"/>
      <c r="UH15" s="16"/>
      <c r="UI15" s="16"/>
      <c r="UJ15" s="16"/>
      <c r="UK15" s="16"/>
      <c r="UL15" s="16"/>
      <c r="UM15" s="16"/>
      <c r="UN15" s="16"/>
      <c r="UO15" s="16"/>
      <c r="UP15" s="16"/>
      <c r="UQ15" s="16"/>
      <c r="UR15" s="16"/>
      <c r="US15" s="16"/>
      <c r="UT15" s="16"/>
      <c r="UU15" s="16"/>
      <c r="UV15" s="16"/>
      <c r="UW15" s="16"/>
      <c r="UX15" s="16"/>
      <c r="UY15" s="16"/>
      <c r="UZ15" s="16"/>
      <c r="VA15" s="16"/>
      <c r="VB15" s="16"/>
      <c r="VC15" s="16"/>
      <c r="VD15" s="16"/>
      <c r="VE15" s="16"/>
      <c r="VF15" s="16"/>
      <c r="VG15" s="16"/>
      <c r="VH15" s="16"/>
      <c r="VI15" s="16"/>
      <c r="VJ15" s="16"/>
      <c r="VK15" s="16"/>
      <c r="VL15" s="16"/>
      <c r="VM15" s="16"/>
      <c r="VN15" s="16"/>
      <c r="VO15" s="16"/>
      <c r="VP15" s="16"/>
      <c r="VQ15" s="16"/>
      <c r="VR15" s="16"/>
      <c r="VS15" s="16"/>
      <c r="VT15" s="16"/>
      <c r="VU15" s="16"/>
      <c r="VV15" s="16"/>
      <c r="VW15" s="16"/>
      <c r="VX15" s="16"/>
      <c r="VY15" s="16"/>
      <c r="VZ15" s="16"/>
      <c r="WA15" s="16"/>
      <c r="WB15" s="16"/>
      <c r="WC15" s="16"/>
      <c r="WD15" s="16"/>
      <c r="WE15" s="16"/>
      <c r="WF15" s="16"/>
      <c r="WG15" s="16"/>
      <c r="WH15" s="16"/>
      <c r="WI15" s="16"/>
      <c r="WJ15" s="16"/>
      <c r="WK15" s="16"/>
      <c r="WL15" s="16"/>
      <c r="WM15" s="16"/>
      <c r="WN15" s="16"/>
      <c r="WO15" s="16"/>
      <c r="WP15" s="16"/>
      <c r="WQ15" s="16"/>
      <c r="WR15" s="16"/>
      <c r="WS15" s="16"/>
      <c r="WT15" s="16"/>
      <c r="WU15" s="16"/>
      <c r="WV15" s="16"/>
      <c r="WW15" s="16"/>
      <c r="WX15" s="16"/>
      <c r="WY15" s="16"/>
      <c r="WZ15" s="16"/>
      <c r="XA15" s="16"/>
      <c r="XB15" s="16"/>
      <c r="XC15" s="16"/>
      <c r="XD15" s="16"/>
      <c r="XE15" s="16"/>
      <c r="XF15" s="16"/>
      <c r="XG15" s="16"/>
      <c r="XH15" s="16"/>
      <c r="XI15" s="16"/>
      <c r="XJ15" s="16"/>
      <c r="XK15" s="16"/>
      <c r="XL15" s="16"/>
      <c r="XM15" s="16"/>
      <c r="XN15" s="16"/>
      <c r="XO15" s="16"/>
      <c r="XP15" s="16"/>
      <c r="XQ15" s="16"/>
      <c r="XR15" s="16"/>
      <c r="XS15" s="16"/>
      <c r="XT15" s="16"/>
      <c r="XU15" s="16"/>
      <c r="XV15" s="16"/>
      <c r="XW15" s="16"/>
      <c r="XX15" s="16"/>
      <c r="XY15" s="16"/>
      <c r="XZ15" s="16"/>
      <c r="YA15" s="16"/>
      <c r="YB15" s="16"/>
      <c r="YC15" s="16"/>
      <c r="YD15" s="16"/>
      <c r="YE15" s="16"/>
      <c r="YF15" s="16"/>
      <c r="YG15" s="16"/>
      <c r="YH15" s="16"/>
      <c r="YI15" s="16"/>
      <c r="YJ15" s="16"/>
      <c r="YK15" s="16"/>
      <c r="YL15" s="16"/>
      <c r="YM15" s="16"/>
      <c r="YN15" s="16"/>
      <c r="YO15" s="16"/>
      <c r="YP15" s="16"/>
      <c r="YQ15" s="16"/>
      <c r="YR15" s="16"/>
      <c r="YS15" s="16"/>
      <c r="YT15" s="16"/>
      <c r="YU15" s="16"/>
      <c r="YV15" s="16"/>
      <c r="YW15" s="16"/>
      <c r="YX15" s="16"/>
      <c r="YY15" s="16"/>
      <c r="YZ15" s="16"/>
      <c r="ZA15" s="16"/>
      <c r="ZB15" s="16"/>
      <c r="ZC15" s="16"/>
      <c r="ZD15" s="16"/>
      <c r="ZE15" s="16"/>
      <c r="ZF15" s="16"/>
      <c r="ZG15" s="16"/>
      <c r="ZH15" s="16"/>
      <c r="ZI15" s="16"/>
      <c r="ZJ15" s="16"/>
      <c r="ZK15" s="16"/>
      <c r="ZL15" s="16"/>
      <c r="ZM15" s="16"/>
      <c r="ZN15" s="16"/>
      <c r="ZO15" s="16"/>
      <c r="ZP15" s="16"/>
      <c r="ZQ15" s="16"/>
      <c r="ZR15" s="16"/>
      <c r="ZS15" s="16"/>
      <c r="ZT15" s="16"/>
      <c r="ZU15" s="16"/>
      <c r="ZV15" s="16"/>
      <c r="ZW15" s="16"/>
      <c r="ZX15" s="16"/>
      <c r="ZY15" s="16"/>
      <c r="ZZ15" s="16"/>
      <c r="AAA15" s="16"/>
      <c r="AAB15" s="16"/>
      <c r="AAC15" s="16"/>
      <c r="AAD15" s="16"/>
      <c r="AAE15" s="16"/>
      <c r="AAF15" s="16"/>
      <c r="AAG15" s="16"/>
      <c r="AAH15" s="16"/>
      <c r="AAI15" s="16"/>
      <c r="AAJ15" s="16"/>
      <c r="AAK15" s="16"/>
      <c r="AAL15" s="16"/>
      <c r="AAM15" s="16"/>
      <c r="AAN15" s="16"/>
      <c r="AAO15" s="16"/>
      <c r="AAP15" s="16"/>
      <c r="AAQ15" s="16"/>
      <c r="AAR15" s="16"/>
      <c r="AAS15" s="16"/>
      <c r="AAT15" s="16"/>
      <c r="AAU15" s="16"/>
      <c r="AAV15" s="16"/>
      <c r="AAW15" s="16"/>
      <c r="AAX15" s="16"/>
      <c r="AAY15" s="16"/>
      <c r="AAZ15" s="16"/>
      <c r="ABA15" s="16"/>
      <c r="ABB15" s="16"/>
      <c r="ABC15" s="16"/>
      <c r="ABD15" s="16"/>
      <c r="ABE15" s="16"/>
      <c r="ABF15" s="16"/>
      <c r="ABG15" s="16"/>
      <c r="ABH15" s="16"/>
      <c r="ABI15" s="16"/>
      <c r="ABJ15" s="16"/>
      <c r="ABK15" s="16"/>
      <c r="ABL15" s="16"/>
      <c r="ABM15" s="16"/>
      <c r="ABN15" s="16"/>
      <c r="ABO15" s="16"/>
      <c r="ABP15" s="16"/>
      <c r="ABQ15" s="16"/>
      <c r="ABR15" s="16"/>
      <c r="ABS15" s="16"/>
      <c r="ABT15" s="16"/>
      <c r="ABU15" s="16"/>
      <c r="ABV15" s="16"/>
      <c r="ABW15" s="16"/>
      <c r="ABX15" s="16"/>
      <c r="ABY15" s="16"/>
      <c r="ABZ15" s="16"/>
      <c r="ACA15" s="16"/>
      <c r="ACB15" s="16"/>
      <c r="ACC15" s="16"/>
      <c r="ACD15" s="16"/>
      <c r="ACE15" s="16"/>
      <c r="ACF15" s="16"/>
      <c r="ACG15" s="16"/>
      <c r="ACH15" s="16"/>
      <c r="ACI15" s="16"/>
      <c r="ACJ15" s="16"/>
      <c r="ACK15" s="16"/>
      <c r="ACL15" s="16"/>
      <c r="ACM15" s="16"/>
      <c r="ACN15" s="16"/>
      <c r="ACO15" s="16"/>
      <c r="ACP15" s="16"/>
      <c r="ACQ15" s="16"/>
      <c r="ACR15" s="16"/>
      <c r="ACS15" s="16"/>
      <c r="ACT15" s="16"/>
      <c r="ACU15" s="16"/>
      <c r="ACV15" s="16"/>
      <c r="ACW15" s="16"/>
      <c r="ACX15" s="16"/>
      <c r="ACY15" s="16"/>
      <c r="ACZ15" s="16"/>
      <c r="ADA15" s="16"/>
      <c r="ADB15" s="16"/>
      <c r="ADC15" s="16"/>
      <c r="ADD15" s="16"/>
      <c r="ADE15" s="16"/>
      <c r="ADF15" s="16"/>
      <c r="ADG15" s="16"/>
      <c r="ADH15" s="16"/>
      <c r="ADI15" s="16"/>
      <c r="ADJ15" s="16"/>
      <c r="ADK15" s="16"/>
      <c r="ADL15" s="16"/>
      <c r="ADM15" s="16"/>
      <c r="ADN15" s="16"/>
      <c r="ADO15" s="16"/>
      <c r="ADP15" s="16"/>
      <c r="ADQ15" s="16"/>
      <c r="ADR15" s="16"/>
      <c r="ADS15" s="16"/>
      <c r="ADT15" s="16"/>
      <c r="ADU15" s="16"/>
      <c r="ADV15" s="16"/>
      <c r="ADW15" s="16"/>
      <c r="ADX15" s="16"/>
      <c r="ADY15" s="16"/>
      <c r="ADZ15" s="16"/>
      <c r="AEA15" s="16"/>
      <c r="AEB15" s="16"/>
      <c r="AEC15" s="16"/>
      <c r="AED15" s="16"/>
      <c r="AEE15" s="16"/>
      <c r="AEF15" s="16"/>
      <c r="AEG15" s="16"/>
      <c r="AEH15" s="16"/>
      <c r="AEI15" s="16"/>
      <c r="AEJ15" s="16"/>
      <c r="AEK15" s="16"/>
      <c r="AEL15" s="16"/>
      <c r="AEM15" s="16"/>
      <c r="AEN15" s="16"/>
      <c r="AEO15" s="16"/>
      <c r="AEP15" s="16"/>
      <c r="AEQ15" s="16"/>
      <c r="AER15" s="16"/>
      <c r="AES15" s="16"/>
      <c r="AET15" s="16"/>
      <c r="AEU15" s="16"/>
      <c r="AEV15" s="16"/>
      <c r="AEW15" s="16"/>
      <c r="AEX15" s="16"/>
      <c r="AEY15" s="16"/>
      <c r="AEZ15" s="16"/>
      <c r="AFA15" s="16"/>
      <c r="AFB15" s="16"/>
      <c r="AFC15" s="16"/>
      <c r="AFD15" s="16"/>
      <c r="AFE15" s="16"/>
      <c r="AFF15" s="16"/>
      <c r="AFG15" s="16"/>
      <c r="AFH15" s="16"/>
      <c r="AFI15" s="16"/>
      <c r="AFJ15" s="16"/>
      <c r="AFK15" s="16"/>
      <c r="AFL15" s="16"/>
      <c r="AFM15" s="16"/>
      <c r="AFN15" s="16"/>
      <c r="AFO15" s="16"/>
      <c r="AFP15" s="16"/>
      <c r="AFQ15" s="16"/>
      <c r="AFR15" s="16"/>
      <c r="AFS15" s="16"/>
      <c r="AFT15" s="16"/>
      <c r="AFU15" s="16"/>
      <c r="AFV15" s="16"/>
      <c r="AFW15" s="16"/>
      <c r="AFX15" s="16"/>
      <c r="AFY15" s="16"/>
      <c r="AFZ15" s="16"/>
      <c r="AGA15" s="16"/>
      <c r="AGB15" s="16"/>
      <c r="AGC15" s="16"/>
      <c r="AGD15" s="16"/>
      <c r="AGE15" s="16"/>
      <c r="AGF15" s="16"/>
      <c r="AGG15" s="16"/>
      <c r="AGH15" s="16"/>
      <c r="AGI15" s="16"/>
      <c r="AGJ15" s="16"/>
      <c r="AGK15" s="16"/>
      <c r="AGL15" s="16"/>
      <c r="AGM15" s="16"/>
      <c r="AGN15" s="16"/>
      <c r="AGO15" s="16"/>
      <c r="AGP15" s="16"/>
      <c r="AGQ15" s="16"/>
      <c r="AGR15" s="16"/>
      <c r="AGS15" s="16"/>
      <c r="AGT15" s="16"/>
      <c r="AGU15" s="16"/>
      <c r="AGV15" s="16"/>
      <c r="AGW15" s="16"/>
      <c r="AGX15" s="16"/>
      <c r="AGY15" s="16"/>
      <c r="AGZ15" s="16"/>
      <c r="AHA15" s="16"/>
      <c r="AHB15" s="16"/>
      <c r="AHC15" s="16"/>
      <c r="AHD15" s="16"/>
      <c r="AHE15" s="16"/>
      <c r="AHF15" s="16"/>
      <c r="AHG15" s="16"/>
      <c r="AHH15" s="16"/>
      <c r="AHI15" s="16"/>
      <c r="AHJ15" s="16"/>
      <c r="AHK15" s="16"/>
      <c r="AHL15" s="16"/>
      <c r="AHM15" s="16"/>
      <c r="AHN15" s="16"/>
      <c r="AHO15" s="16"/>
      <c r="AHP15" s="16"/>
      <c r="AHQ15" s="16"/>
      <c r="AHR15" s="16"/>
      <c r="AHS15" s="16"/>
      <c r="AHT15" s="16"/>
      <c r="AHU15" s="16"/>
      <c r="AHV15" s="16"/>
      <c r="AHW15" s="16"/>
      <c r="AHX15" s="16"/>
      <c r="AHY15" s="16"/>
      <c r="AHZ15" s="16"/>
      <c r="AIA15" s="16"/>
      <c r="AIB15" s="16"/>
      <c r="AIC15" s="16"/>
      <c r="AID15" s="16"/>
      <c r="AIE15" s="16"/>
      <c r="AIF15" s="16"/>
      <c r="AIG15" s="16"/>
      <c r="AIH15" s="16"/>
      <c r="AII15" s="16"/>
      <c r="AIJ15" s="16"/>
      <c r="AIK15" s="16"/>
      <c r="AIL15" s="16"/>
      <c r="AIM15" s="16"/>
      <c r="AIN15" s="16"/>
      <c r="AIO15" s="16"/>
      <c r="AIP15" s="16"/>
      <c r="AIQ15" s="16"/>
      <c r="AIR15" s="16"/>
      <c r="AIS15" s="16"/>
      <c r="AIT15" s="16"/>
      <c r="AIU15" s="16"/>
      <c r="AIV15" s="16"/>
      <c r="AIW15" s="16"/>
      <c r="AIX15" s="16"/>
      <c r="AIY15" s="16"/>
      <c r="AIZ15" s="16"/>
      <c r="AJA15" s="16"/>
      <c r="AJB15" s="16"/>
      <c r="AJC15" s="16"/>
      <c r="AJD15" s="16"/>
      <c r="AJE15" s="16"/>
      <c r="AJF15" s="16"/>
      <c r="AJG15" s="16"/>
      <c r="AJH15" s="16"/>
      <c r="AJI15" s="16"/>
      <c r="AJJ15" s="16"/>
      <c r="AJK15" s="16"/>
      <c r="AJL15" s="16"/>
      <c r="AJM15" s="16"/>
      <c r="AJN15" s="16"/>
      <c r="AJO15" s="16"/>
      <c r="AJP15" s="16"/>
      <c r="AJQ15" s="16"/>
      <c r="AJR15" s="16"/>
      <c r="AJS15" s="16"/>
      <c r="AJT15" s="16"/>
      <c r="AJU15" s="16"/>
      <c r="AJV15" s="16"/>
      <c r="AJW15" s="16"/>
      <c r="AJX15" s="16"/>
      <c r="AJY15" s="16"/>
      <c r="AJZ15" s="16"/>
      <c r="AKA15" s="16"/>
      <c r="AKB15" s="16"/>
      <c r="AKC15" s="16"/>
      <c r="AKD15" s="16"/>
      <c r="AKE15" s="16"/>
      <c r="AKF15" s="16"/>
      <c r="AKG15" s="16"/>
      <c r="AKH15" s="16"/>
      <c r="AKI15" s="16"/>
      <c r="AKJ15" s="16"/>
      <c r="AKK15" s="16"/>
      <c r="AKL15" s="16"/>
      <c r="AKM15" s="16"/>
      <c r="AKN15" s="16"/>
      <c r="AKO15" s="16"/>
      <c r="AKP15" s="16"/>
      <c r="AKQ15" s="16"/>
      <c r="AKR15" s="16"/>
      <c r="AKS15" s="16"/>
      <c r="AKT15" s="16"/>
      <c r="AKU15" s="16"/>
      <c r="AKV15" s="16"/>
      <c r="AKW15" s="16"/>
      <c r="AKX15" s="16"/>
      <c r="AKY15" s="16"/>
      <c r="AKZ15" s="16"/>
      <c r="ALA15" s="16"/>
      <c r="ALB15" s="16"/>
      <c r="ALC15" s="16"/>
      <c r="ALD15" s="16"/>
      <c r="ALE15" s="16"/>
      <c r="ALF15" s="16"/>
      <c r="ALG15" s="16"/>
      <c r="ALH15" s="16"/>
      <c r="ALI15" s="16"/>
      <c r="ALJ15" s="16"/>
      <c r="ALK15" s="16"/>
      <c r="ALL15" s="16"/>
      <c r="ALM15" s="16"/>
      <c r="ALN15" s="16"/>
      <c r="ALO15" s="16"/>
      <c r="ALP15" s="16"/>
      <c r="ALQ15" s="16"/>
      <c r="ALR15" s="16"/>
      <c r="ALS15" s="16"/>
      <c r="ALT15" s="16"/>
      <c r="ALU15" s="16"/>
      <c r="ALV15" s="16"/>
      <c r="ALW15" s="16"/>
      <c r="ALX15" s="16"/>
      <c r="ALY15" s="16"/>
      <c r="ALZ15" s="16"/>
      <c r="AMA15" s="16"/>
      <c r="AMB15" s="16"/>
      <c r="AMC15" s="16"/>
      <c r="AMD15" s="16"/>
    </row>
    <row r="16" customFormat="false" ht="15" hidden="false" customHeight="true" outlineLevel="0" collapsed="false">
      <c r="A16" s="16"/>
      <c r="B16" s="64" t="s">
        <v>131</v>
      </c>
      <c r="C16" s="272" t="n">
        <f aca="false">VLOOKUP(B16,Unidades!$D$5:$G$24,4,)</f>
        <v>0.03</v>
      </c>
      <c r="D16" s="273" t="n">
        <f aca="false">'Base Joinville'!AD7*12+'Base Joinville'!AE7*4+'Base Joinville'!AF7*2+'Base Joinville'!AG7</f>
        <v>19210.9031742817</v>
      </c>
      <c r="E16" s="273" t="n">
        <f aca="false">'Base Joinville'!AK7*12+'Base Joinville'!AL7*4+'Base Joinville'!AM7*2+'Base Joinville'!AN7</f>
        <v>23733.1497815076</v>
      </c>
      <c r="IO16" s="16"/>
      <c r="IP16" s="16"/>
      <c r="IQ16" s="16"/>
      <c r="IR16" s="16"/>
      <c r="IS16" s="16"/>
      <c r="IT16" s="16"/>
      <c r="IU16" s="16"/>
      <c r="IV16" s="16"/>
      <c r="IW16" s="16"/>
      <c r="IX16" s="16"/>
      <c r="IY16" s="16"/>
      <c r="IZ16" s="16"/>
      <c r="JA16" s="16"/>
      <c r="JB16" s="16"/>
      <c r="JC16" s="16"/>
      <c r="JD16" s="16"/>
      <c r="JE16" s="16"/>
      <c r="JF16" s="16"/>
      <c r="JG16" s="16"/>
      <c r="JH16" s="16"/>
      <c r="JI16" s="16"/>
      <c r="JJ16" s="16"/>
      <c r="JK16" s="16"/>
      <c r="JL16" s="16"/>
      <c r="JM16" s="16"/>
      <c r="JN16" s="16"/>
      <c r="JO16" s="16"/>
      <c r="JP16" s="16"/>
      <c r="JQ16" s="16"/>
      <c r="JR16" s="16"/>
      <c r="JS16" s="16"/>
      <c r="JT16" s="16"/>
      <c r="JU16" s="16"/>
      <c r="JV16" s="16"/>
      <c r="JW16" s="16"/>
      <c r="JX16" s="16"/>
      <c r="JY16" s="16"/>
      <c r="JZ16" s="16"/>
      <c r="KA16" s="16"/>
      <c r="KB16" s="16"/>
      <c r="KC16" s="16"/>
      <c r="KD16" s="16"/>
      <c r="KE16" s="16"/>
      <c r="KF16" s="16"/>
      <c r="KG16" s="16"/>
      <c r="KH16" s="16"/>
      <c r="KI16" s="16"/>
      <c r="KJ16" s="16"/>
      <c r="KK16" s="16"/>
      <c r="KL16" s="16"/>
      <c r="KM16" s="16"/>
      <c r="KN16" s="16"/>
      <c r="KO16" s="16"/>
      <c r="KP16" s="16"/>
      <c r="KQ16" s="16"/>
      <c r="KR16" s="16"/>
      <c r="KS16" s="16"/>
      <c r="KT16" s="16"/>
      <c r="KU16" s="16"/>
      <c r="KV16" s="16"/>
      <c r="KW16" s="16"/>
      <c r="KX16" s="16"/>
      <c r="KY16" s="16"/>
      <c r="KZ16" s="16"/>
      <c r="LA16" s="16"/>
      <c r="LB16" s="16"/>
      <c r="LC16" s="16"/>
      <c r="LD16" s="16"/>
      <c r="LE16" s="16"/>
      <c r="LF16" s="16"/>
      <c r="LG16" s="16"/>
      <c r="LH16" s="16"/>
      <c r="LI16" s="16"/>
      <c r="LJ16" s="16"/>
      <c r="LK16" s="16"/>
      <c r="LL16" s="16"/>
      <c r="LM16" s="16"/>
      <c r="LN16" s="16"/>
      <c r="LO16" s="16"/>
      <c r="LP16" s="16"/>
      <c r="LQ16" s="16"/>
      <c r="LR16" s="16"/>
      <c r="LS16" s="16"/>
      <c r="LT16" s="16"/>
      <c r="LU16" s="16"/>
      <c r="LV16" s="16"/>
      <c r="LW16" s="16"/>
      <c r="LX16" s="16"/>
      <c r="LY16" s="16"/>
      <c r="LZ16" s="16"/>
      <c r="MA16" s="16"/>
      <c r="MB16" s="16"/>
      <c r="MC16" s="16"/>
      <c r="MD16" s="16"/>
      <c r="ME16" s="16"/>
      <c r="MF16" s="16"/>
      <c r="MG16" s="16"/>
      <c r="MH16" s="16"/>
      <c r="MI16" s="16"/>
      <c r="MJ16" s="16"/>
      <c r="MK16" s="16"/>
      <c r="ML16" s="16"/>
      <c r="MM16" s="16"/>
      <c r="MN16" s="16"/>
      <c r="MO16" s="16"/>
      <c r="MP16" s="16"/>
      <c r="MQ16" s="16"/>
      <c r="MR16" s="16"/>
      <c r="MS16" s="16"/>
      <c r="MT16" s="16"/>
      <c r="MU16" s="16"/>
      <c r="MV16" s="16"/>
      <c r="MW16" s="16"/>
      <c r="MX16" s="16"/>
      <c r="MY16" s="16"/>
      <c r="MZ16" s="16"/>
      <c r="NA16" s="16"/>
      <c r="NB16" s="16"/>
      <c r="NC16" s="16"/>
      <c r="ND16" s="16"/>
      <c r="NE16" s="16"/>
      <c r="NF16" s="16"/>
      <c r="NG16" s="16"/>
      <c r="NH16" s="16"/>
      <c r="NI16" s="16"/>
      <c r="NJ16" s="16"/>
      <c r="NK16" s="16"/>
      <c r="NL16" s="16"/>
      <c r="NM16" s="16"/>
      <c r="NN16" s="16"/>
      <c r="NO16" s="16"/>
      <c r="NP16" s="16"/>
      <c r="NQ16" s="16"/>
      <c r="NR16" s="16"/>
      <c r="NS16" s="16"/>
      <c r="NT16" s="16"/>
      <c r="NU16" s="16"/>
      <c r="NV16" s="16"/>
      <c r="NW16" s="16"/>
      <c r="NX16" s="16"/>
      <c r="NY16" s="16"/>
      <c r="NZ16" s="16"/>
      <c r="OA16" s="16"/>
      <c r="OB16" s="16"/>
      <c r="OC16" s="16"/>
      <c r="OD16" s="16"/>
      <c r="OE16" s="16"/>
      <c r="OF16" s="16"/>
      <c r="OG16" s="16"/>
      <c r="OH16" s="16"/>
      <c r="OI16" s="16"/>
      <c r="OJ16" s="16"/>
      <c r="OK16" s="16"/>
      <c r="OL16" s="16"/>
      <c r="OM16" s="16"/>
      <c r="ON16" s="16"/>
      <c r="OO16" s="16"/>
      <c r="OP16" s="16"/>
      <c r="OQ16" s="16"/>
      <c r="OR16" s="16"/>
      <c r="OS16" s="16"/>
      <c r="OT16" s="16"/>
      <c r="OU16" s="16"/>
      <c r="OV16" s="16"/>
      <c r="OW16" s="16"/>
      <c r="OX16" s="16"/>
      <c r="OY16" s="16"/>
      <c r="OZ16" s="16"/>
      <c r="PA16" s="16"/>
      <c r="PB16" s="16"/>
      <c r="PC16" s="16"/>
      <c r="PD16" s="16"/>
      <c r="PE16" s="16"/>
      <c r="PF16" s="16"/>
      <c r="PG16" s="16"/>
      <c r="PH16" s="16"/>
      <c r="PI16" s="16"/>
      <c r="PJ16" s="16"/>
      <c r="PK16" s="16"/>
      <c r="PL16" s="16"/>
      <c r="PM16" s="16"/>
      <c r="PN16" s="16"/>
      <c r="PO16" s="16"/>
      <c r="PP16" s="16"/>
      <c r="PQ16" s="16"/>
      <c r="PR16" s="16"/>
      <c r="PS16" s="16"/>
      <c r="PT16" s="16"/>
      <c r="PU16" s="16"/>
      <c r="PV16" s="16"/>
      <c r="PW16" s="16"/>
      <c r="PX16" s="16"/>
      <c r="PY16" s="16"/>
      <c r="PZ16" s="16"/>
      <c r="QA16" s="16"/>
      <c r="QB16" s="16"/>
      <c r="QC16" s="16"/>
      <c r="QD16" s="16"/>
      <c r="QE16" s="16"/>
      <c r="QF16" s="16"/>
      <c r="QG16" s="16"/>
      <c r="QH16" s="16"/>
      <c r="QI16" s="16"/>
      <c r="QJ16" s="16"/>
      <c r="QK16" s="16"/>
      <c r="QL16" s="16"/>
      <c r="QM16" s="16"/>
      <c r="QN16" s="16"/>
      <c r="QO16" s="16"/>
      <c r="QP16" s="16"/>
      <c r="QQ16" s="16"/>
      <c r="QR16" s="16"/>
      <c r="QS16" s="16"/>
      <c r="QT16" s="16"/>
      <c r="QU16" s="16"/>
      <c r="QV16" s="16"/>
      <c r="QW16" s="16"/>
      <c r="QX16" s="16"/>
      <c r="QY16" s="16"/>
      <c r="QZ16" s="16"/>
      <c r="RA16" s="16"/>
      <c r="RB16" s="16"/>
      <c r="RC16" s="16"/>
      <c r="RD16" s="16"/>
      <c r="RE16" s="16"/>
      <c r="RF16" s="16"/>
      <c r="RG16" s="16"/>
      <c r="RH16" s="16"/>
      <c r="RI16" s="16"/>
      <c r="RJ16" s="16"/>
      <c r="RK16" s="16"/>
      <c r="RL16" s="16"/>
      <c r="RM16" s="16"/>
      <c r="RN16" s="16"/>
      <c r="RO16" s="16"/>
      <c r="RP16" s="16"/>
      <c r="RQ16" s="16"/>
      <c r="RR16" s="16"/>
      <c r="RS16" s="16"/>
      <c r="RT16" s="16"/>
      <c r="RU16" s="16"/>
      <c r="RV16" s="16"/>
      <c r="RW16" s="16"/>
      <c r="RX16" s="16"/>
      <c r="RY16" s="16"/>
      <c r="RZ16" s="16"/>
      <c r="SA16" s="16"/>
      <c r="SB16" s="16"/>
      <c r="SC16" s="16"/>
      <c r="SD16" s="16"/>
      <c r="SE16" s="16"/>
      <c r="SF16" s="16"/>
      <c r="SG16" s="16"/>
      <c r="SH16" s="16"/>
      <c r="SI16" s="16"/>
      <c r="SJ16" s="16"/>
      <c r="SK16" s="16"/>
      <c r="SL16" s="16"/>
      <c r="SM16" s="16"/>
      <c r="SN16" s="16"/>
      <c r="SO16" s="16"/>
      <c r="SP16" s="16"/>
      <c r="SQ16" s="16"/>
      <c r="SR16" s="16"/>
      <c r="SS16" s="16"/>
      <c r="ST16" s="16"/>
      <c r="SU16" s="16"/>
      <c r="SV16" s="16"/>
      <c r="SW16" s="16"/>
      <c r="SX16" s="16"/>
      <c r="SY16" s="16"/>
      <c r="SZ16" s="16"/>
      <c r="TA16" s="16"/>
      <c r="TB16" s="16"/>
      <c r="TC16" s="16"/>
      <c r="TD16" s="16"/>
      <c r="TE16" s="16"/>
      <c r="TF16" s="16"/>
      <c r="TG16" s="16"/>
      <c r="TH16" s="16"/>
      <c r="TI16" s="16"/>
      <c r="TJ16" s="16"/>
      <c r="TK16" s="16"/>
      <c r="TL16" s="16"/>
      <c r="TM16" s="16"/>
      <c r="TN16" s="16"/>
      <c r="TO16" s="16"/>
      <c r="TP16" s="16"/>
      <c r="TQ16" s="16"/>
      <c r="TR16" s="16"/>
      <c r="TS16" s="16"/>
      <c r="TT16" s="16"/>
      <c r="TU16" s="16"/>
      <c r="TV16" s="16"/>
      <c r="TW16" s="16"/>
      <c r="TX16" s="16"/>
      <c r="TY16" s="16"/>
      <c r="TZ16" s="16"/>
      <c r="UA16" s="16"/>
      <c r="UB16" s="16"/>
      <c r="UC16" s="16"/>
      <c r="UD16" s="16"/>
      <c r="UE16" s="16"/>
      <c r="UF16" s="16"/>
      <c r="UG16" s="16"/>
      <c r="UH16" s="16"/>
      <c r="UI16" s="16"/>
      <c r="UJ16" s="16"/>
      <c r="UK16" s="16"/>
      <c r="UL16" s="16"/>
      <c r="UM16" s="16"/>
      <c r="UN16" s="16"/>
      <c r="UO16" s="16"/>
      <c r="UP16" s="16"/>
      <c r="UQ16" s="16"/>
      <c r="UR16" s="16"/>
      <c r="US16" s="16"/>
      <c r="UT16" s="16"/>
      <c r="UU16" s="16"/>
      <c r="UV16" s="16"/>
      <c r="UW16" s="16"/>
      <c r="UX16" s="16"/>
      <c r="UY16" s="16"/>
      <c r="UZ16" s="16"/>
      <c r="VA16" s="16"/>
      <c r="VB16" s="16"/>
      <c r="VC16" s="16"/>
      <c r="VD16" s="16"/>
      <c r="VE16" s="16"/>
      <c r="VF16" s="16"/>
      <c r="VG16" s="16"/>
      <c r="VH16" s="16"/>
      <c r="VI16" s="16"/>
      <c r="VJ16" s="16"/>
      <c r="VK16" s="16"/>
      <c r="VL16" s="16"/>
      <c r="VM16" s="16"/>
      <c r="VN16" s="16"/>
      <c r="VO16" s="16"/>
      <c r="VP16" s="16"/>
      <c r="VQ16" s="16"/>
      <c r="VR16" s="16"/>
      <c r="VS16" s="16"/>
      <c r="VT16" s="16"/>
      <c r="VU16" s="16"/>
      <c r="VV16" s="16"/>
      <c r="VW16" s="16"/>
      <c r="VX16" s="16"/>
      <c r="VY16" s="16"/>
      <c r="VZ16" s="16"/>
      <c r="WA16" s="16"/>
      <c r="WB16" s="16"/>
      <c r="WC16" s="16"/>
      <c r="WD16" s="16"/>
      <c r="WE16" s="16"/>
      <c r="WF16" s="16"/>
      <c r="WG16" s="16"/>
      <c r="WH16" s="16"/>
      <c r="WI16" s="16"/>
      <c r="WJ16" s="16"/>
      <c r="WK16" s="16"/>
      <c r="WL16" s="16"/>
      <c r="WM16" s="16"/>
      <c r="WN16" s="16"/>
      <c r="WO16" s="16"/>
      <c r="WP16" s="16"/>
      <c r="WQ16" s="16"/>
      <c r="WR16" s="16"/>
      <c r="WS16" s="16"/>
      <c r="WT16" s="16"/>
      <c r="WU16" s="16"/>
      <c r="WV16" s="16"/>
      <c r="WW16" s="16"/>
      <c r="WX16" s="16"/>
      <c r="WY16" s="16"/>
      <c r="WZ16" s="16"/>
      <c r="XA16" s="16"/>
      <c r="XB16" s="16"/>
      <c r="XC16" s="16"/>
      <c r="XD16" s="16"/>
      <c r="XE16" s="16"/>
      <c r="XF16" s="16"/>
      <c r="XG16" s="16"/>
      <c r="XH16" s="16"/>
      <c r="XI16" s="16"/>
      <c r="XJ16" s="16"/>
      <c r="XK16" s="16"/>
      <c r="XL16" s="16"/>
      <c r="XM16" s="16"/>
      <c r="XN16" s="16"/>
      <c r="XO16" s="16"/>
      <c r="XP16" s="16"/>
      <c r="XQ16" s="16"/>
      <c r="XR16" s="16"/>
      <c r="XS16" s="16"/>
      <c r="XT16" s="16"/>
      <c r="XU16" s="16"/>
      <c r="XV16" s="16"/>
      <c r="XW16" s="16"/>
      <c r="XX16" s="16"/>
      <c r="XY16" s="16"/>
      <c r="XZ16" s="16"/>
      <c r="YA16" s="16"/>
      <c r="YB16" s="16"/>
      <c r="YC16" s="16"/>
      <c r="YD16" s="16"/>
      <c r="YE16" s="16"/>
      <c r="YF16" s="16"/>
      <c r="YG16" s="16"/>
      <c r="YH16" s="16"/>
      <c r="YI16" s="16"/>
      <c r="YJ16" s="16"/>
      <c r="YK16" s="16"/>
      <c r="YL16" s="16"/>
      <c r="YM16" s="16"/>
      <c r="YN16" s="16"/>
      <c r="YO16" s="16"/>
      <c r="YP16" s="16"/>
      <c r="YQ16" s="16"/>
      <c r="YR16" s="16"/>
      <c r="YS16" s="16"/>
      <c r="YT16" s="16"/>
      <c r="YU16" s="16"/>
      <c r="YV16" s="16"/>
      <c r="YW16" s="16"/>
      <c r="YX16" s="16"/>
      <c r="YY16" s="16"/>
      <c r="YZ16" s="16"/>
      <c r="ZA16" s="16"/>
      <c r="ZB16" s="16"/>
      <c r="ZC16" s="16"/>
      <c r="ZD16" s="16"/>
      <c r="ZE16" s="16"/>
      <c r="ZF16" s="16"/>
      <c r="ZG16" s="16"/>
      <c r="ZH16" s="16"/>
      <c r="ZI16" s="16"/>
      <c r="ZJ16" s="16"/>
      <c r="ZK16" s="16"/>
      <c r="ZL16" s="16"/>
      <c r="ZM16" s="16"/>
      <c r="ZN16" s="16"/>
      <c r="ZO16" s="16"/>
      <c r="ZP16" s="16"/>
      <c r="ZQ16" s="16"/>
      <c r="ZR16" s="16"/>
      <c r="ZS16" s="16"/>
      <c r="ZT16" s="16"/>
      <c r="ZU16" s="16"/>
      <c r="ZV16" s="16"/>
      <c r="ZW16" s="16"/>
      <c r="ZX16" s="16"/>
      <c r="ZY16" s="16"/>
      <c r="ZZ16" s="16"/>
      <c r="AAA16" s="16"/>
      <c r="AAB16" s="16"/>
      <c r="AAC16" s="16"/>
      <c r="AAD16" s="16"/>
      <c r="AAE16" s="16"/>
      <c r="AAF16" s="16"/>
      <c r="AAG16" s="16"/>
      <c r="AAH16" s="16"/>
      <c r="AAI16" s="16"/>
      <c r="AAJ16" s="16"/>
      <c r="AAK16" s="16"/>
      <c r="AAL16" s="16"/>
      <c r="AAM16" s="16"/>
      <c r="AAN16" s="16"/>
      <c r="AAO16" s="16"/>
      <c r="AAP16" s="16"/>
      <c r="AAQ16" s="16"/>
      <c r="AAR16" s="16"/>
      <c r="AAS16" s="16"/>
      <c r="AAT16" s="16"/>
      <c r="AAU16" s="16"/>
      <c r="AAV16" s="16"/>
      <c r="AAW16" s="16"/>
      <c r="AAX16" s="16"/>
      <c r="AAY16" s="16"/>
      <c r="AAZ16" s="16"/>
      <c r="ABA16" s="16"/>
      <c r="ABB16" s="16"/>
      <c r="ABC16" s="16"/>
      <c r="ABD16" s="16"/>
      <c r="ABE16" s="16"/>
      <c r="ABF16" s="16"/>
      <c r="ABG16" s="16"/>
      <c r="ABH16" s="16"/>
      <c r="ABI16" s="16"/>
      <c r="ABJ16" s="16"/>
      <c r="ABK16" s="16"/>
      <c r="ABL16" s="16"/>
      <c r="ABM16" s="16"/>
      <c r="ABN16" s="16"/>
      <c r="ABO16" s="16"/>
      <c r="ABP16" s="16"/>
      <c r="ABQ16" s="16"/>
      <c r="ABR16" s="16"/>
      <c r="ABS16" s="16"/>
      <c r="ABT16" s="16"/>
      <c r="ABU16" s="16"/>
      <c r="ABV16" s="16"/>
      <c r="ABW16" s="16"/>
      <c r="ABX16" s="16"/>
      <c r="ABY16" s="16"/>
      <c r="ABZ16" s="16"/>
      <c r="ACA16" s="16"/>
      <c r="ACB16" s="16"/>
      <c r="ACC16" s="16"/>
      <c r="ACD16" s="16"/>
      <c r="ACE16" s="16"/>
      <c r="ACF16" s="16"/>
      <c r="ACG16" s="16"/>
      <c r="ACH16" s="16"/>
      <c r="ACI16" s="16"/>
      <c r="ACJ16" s="16"/>
      <c r="ACK16" s="16"/>
      <c r="ACL16" s="16"/>
      <c r="ACM16" s="16"/>
      <c r="ACN16" s="16"/>
      <c r="ACO16" s="16"/>
      <c r="ACP16" s="16"/>
      <c r="ACQ16" s="16"/>
      <c r="ACR16" s="16"/>
      <c r="ACS16" s="16"/>
      <c r="ACT16" s="16"/>
      <c r="ACU16" s="16"/>
      <c r="ACV16" s="16"/>
      <c r="ACW16" s="16"/>
      <c r="ACX16" s="16"/>
      <c r="ACY16" s="16"/>
      <c r="ACZ16" s="16"/>
      <c r="ADA16" s="16"/>
      <c r="ADB16" s="16"/>
      <c r="ADC16" s="16"/>
      <c r="ADD16" s="16"/>
      <c r="ADE16" s="16"/>
      <c r="ADF16" s="16"/>
      <c r="ADG16" s="16"/>
      <c r="ADH16" s="16"/>
      <c r="ADI16" s="16"/>
      <c r="ADJ16" s="16"/>
      <c r="ADK16" s="16"/>
      <c r="ADL16" s="16"/>
      <c r="ADM16" s="16"/>
      <c r="ADN16" s="16"/>
      <c r="ADO16" s="16"/>
      <c r="ADP16" s="16"/>
      <c r="ADQ16" s="16"/>
      <c r="ADR16" s="16"/>
      <c r="ADS16" s="16"/>
      <c r="ADT16" s="16"/>
      <c r="ADU16" s="16"/>
      <c r="ADV16" s="16"/>
      <c r="ADW16" s="16"/>
      <c r="ADX16" s="16"/>
      <c r="ADY16" s="16"/>
      <c r="ADZ16" s="16"/>
      <c r="AEA16" s="16"/>
      <c r="AEB16" s="16"/>
      <c r="AEC16" s="16"/>
      <c r="AED16" s="16"/>
      <c r="AEE16" s="16"/>
      <c r="AEF16" s="16"/>
      <c r="AEG16" s="16"/>
      <c r="AEH16" s="16"/>
      <c r="AEI16" s="16"/>
      <c r="AEJ16" s="16"/>
      <c r="AEK16" s="16"/>
      <c r="AEL16" s="16"/>
      <c r="AEM16" s="16"/>
      <c r="AEN16" s="16"/>
      <c r="AEO16" s="16"/>
      <c r="AEP16" s="16"/>
      <c r="AEQ16" s="16"/>
      <c r="AER16" s="16"/>
      <c r="AES16" s="16"/>
      <c r="AET16" s="16"/>
      <c r="AEU16" s="16"/>
      <c r="AEV16" s="16"/>
      <c r="AEW16" s="16"/>
      <c r="AEX16" s="16"/>
      <c r="AEY16" s="16"/>
      <c r="AEZ16" s="16"/>
      <c r="AFA16" s="16"/>
      <c r="AFB16" s="16"/>
      <c r="AFC16" s="16"/>
      <c r="AFD16" s="16"/>
      <c r="AFE16" s="16"/>
      <c r="AFF16" s="16"/>
      <c r="AFG16" s="16"/>
      <c r="AFH16" s="16"/>
      <c r="AFI16" s="16"/>
      <c r="AFJ16" s="16"/>
      <c r="AFK16" s="16"/>
      <c r="AFL16" s="16"/>
      <c r="AFM16" s="16"/>
      <c r="AFN16" s="16"/>
      <c r="AFO16" s="16"/>
      <c r="AFP16" s="16"/>
      <c r="AFQ16" s="16"/>
      <c r="AFR16" s="16"/>
      <c r="AFS16" s="16"/>
      <c r="AFT16" s="16"/>
      <c r="AFU16" s="16"/>
      <c r="AFV16" s="16"/>
      <c r="AFW16" s="16"/>
      <c r="AFX16" s="16"/>
      <c r="AFY16" s="16"/>
      <c r="AFZ16" s="16"/>
      <c r="AGA16" s="16"/>
      <c r="AGB16" s="16"/>
      <c r="AGC16" s="16"/>
      <c r="AGD16" s="16"/>
      <c r="AGE16" s="16"/>
      <c r="AGF16" s="16"/>
      <c r="AGG16" s="16"/>
      <c r="AGH16" s="16"/>
      <c r="AGI16" s="16"/>
      <c r="AGJ16" s="16"/>
      <c r="AGK16" s="16"/>
      <c r="AGL16" s="16"/>
      <c r="AGM16" s="16"/>
      <c r="AGN16" s="16"/>
      <c r="AGO16" s="16"/>
      <c r="AGP16" s="16"/>
      <c r="AGQ16" s="16"/>
      <c r="AGR16" s="16"/>
      <c r="AGS16" s="16"/>
      <c r="AGT16" s="16"/>
      <c r="AGU16" s="16"/>
      <c r="AGV16" s="16"/>
      <c r="AGW16" s="16"/>
      <c r="AGX16" s="16"/>
      <c r="AGY16" s="16"/>
      <c r="AGZ16" s="16"/>
      <c r="AHA16" s="16"/>
      <c r="AHB16" s="16"/>
      <c r="AHC16" s="16"/>
      <c r="AHD16" s="16"/>
      <c r="AHE16" s="16"/>
      <c r="AHF16" s="16"/>
      <c r="AHG16" s="16"/>
      <c r="AHH16" s="16"/>
      <c r="AHI16" s="16"/>
      <c r="AHJ16" s="16"/>
      <c r="AHK16" s="16"/>
      <c r="AHL16" s="16"/>
      <c r="AHM16" s="16"/>
      <c r="AHN16" s="16"/>
      <c r="AHO16" s="16"/>
      <c r="AHP16" s="16"/>
      <c r="AHQ16" s="16"/>
      <c r="AHR16" s="16"/>
      <c r="AHS16" s="16"/>
      <c r="AHT16" s="16"/>
      <c r="AHU16" s="16"/>
      <c r="AHV16" s="16"/>
      <c r="AHW16" s="16"/>
      <c r="AHX16" s="16"/>
      <c r="AHY16" s="16"/>
      <c r="AHZ16" s="16"/>
      <c r="AIA16" s="16"/>
      <c r="AIB16" s="16"/>
      <c r="AIC16" s="16"/>
      <c r="AID16" s="16"/>
      <c r="AIE16" s="16"/>
      <c r="AIF16" s="16"/>
      <c r="AIG16" s="16"/>
      <c r="AIH16" s="16"/>
      <c r="AII16" s="16"/>
      <c r="AIJ16" s="16"/>
      <c r="AIK16" s="16"/>
      <c r="AIL16" s="16"/>
      <c r="AIM16" s="16"/>
      <c r="AIN16" s="16"/>
      <c r="AIO16" s="16"/>
      <c r="AIP16" s="16"/>
      <c r="AIQ16" s="16"/>
      <c r="AIR16" s="16"/>
      <c r="AIS16" s="16"/>
      <c r="AIT16" s="16"/>
      <c r="AIU16" s="16"/>
      <c r="AIV16" s="16"/>
      <c r="AIW16" s="16"/>
      <c r="AIX16" s="16"/>
      <c r="AIY16" s="16"/>
      <c r="AIZ16" s="16"/>
      <c r="AJA16" s="16"/>
      <c r="AJB16" s="16"/>
      <c r="AJC16" s="16"/>
      <c r="AJD16" s="16"/>
      <c r="AJE16" s="16"/>
      <c r="AJF16" s="16"/>
      <c r="AJG16" s="16"/>
      <c r="AJH16" s="16"/>
      <c r="AJI16" s="16"/>
      <c r="AJJ16" s="16"/>
      <c r="AJK16" s="16"/>
      <c r="AJL16" s="16"/>
      <c r="AJM16" s="16"/>
      <c r="AJN16" s="16"/>
      <c r="AJO16" s="16"/>
      <c r="AJP16" s="16"/>
      <c r="AJQ16" s="16"/>
      <c r="AJR16" s="16"/>
      <c r="AJS16" s="16"/>
      <c r="AJT16" s="16"/>
      <c r="AJU16" s="16"/>
      <c r="AJV16" s="16"/>
      <c r="AJW16" s="16"/>
      <c r="AJX16" s="16"/>
      <c r="AJY16" s="16"/>
      <c r="AJZ16" s="16"/>
      <c r="AKA16" s="16"/>
      <c r="AKB16" s="16"/>
      <c r="AKC16" s="16"/>
      <c r="AKD16" s="16"/>
      <c r="AKE16" s="16"/>
      <c r="AKF16" s="16"/>
      <c r="AKG16" s="16"/>
      <c r="AKH16" s="16"/>
      <c r="AKI16" s="16"/>
      <c r="AKJ16" s="16"/>
      <c r="AKK16" s="16"/>
      <c r="AKL16" s="16"/>
      <c r="AKM16" s="16"/>
      <c r="AKN16" s="16"/>
      <c r="AKO16" s="16"/>
      <c r="AKP16" s="16"/>
      <c r="AKQ16" s="16"/>
      <c r="AKR16" s="16"/>
      <c r="AKS16" s="16"/>
      <c r="AKT16" s="16"/>
      <c r="AKU16" s="16"/>
      <c r="AKV16" s="16"/>
      <c r="AKW16" s="16"/>
      <c r="AKX16" s="16"/>
      <c r="AKY16" s="16"/>
      <c r="AKZ16" s="16"/>
      <c r="ALA16" s="16"/>
      <c r="ALB16" s="16"/>
      <c r="ALC16" s="16"/>
      <c r="ALD16" s="16"/>
      <c r="ALE16" s="16"/>
      <c r="ALF16" s="16"/>
      <c r="ALG16" s="16"/>
      <c r="ALH16" s="16"/>
      <c r="ALI16" s="16"/>
      <c r="ALJ16" s="16"/>
      <c r="ALK16" s="16"/>
      <c r="ALL16" s="16"/>
      <c r="ALM16" s="16"/>
      <c r="ALN16" s="16"/>
      <c r="ALO16" s="16"/>
      <c r="ALP16" s="16"/>
      <c r="ALQ16" s="16"/>
      <c r="ALR16" s="16"/>
      <c r="ALS16" s="16"/>
      <c r="ALT16" s="16"/>
      <c r="ALU16" s="16"/>
      <c r="ALV16" s="16"/>
      <c r="ALW16" s="16"/>
      <c r="ALX16" s="16"/>
      <c r="ALY16" s="16"/>
      <c r="ALZ16" s="16"/>
      <c r="AMA16" s="16"/>
      <c r="AMB16" s="16"/>
      <c r="AMC16" s="16"/>
      <c r="AMD16" s="16"/>
    </row>
    <row r="17" customFormat="false" ht="15" hidden="false" customHeight="true" outlineLevel="0" collapsed="false">
      <c r="A17" s="16"/>
      <c r="B17" s="64" t="s">
        <v>132</v>
      </c>
      <c r="C17" s="272" t="n">
        <f aca="false">VLOOKUP(B17,Unidades!$D$5:$G$24,4,)</f>
        <v>0.02</v>
      </c>
      <c r="D17" s="273" t="n">
        <f aca="false">'Base Joinville'!AD8*12+'Base Joinville'!AE8*4+'Base Joinville'!AF8*2+'Base Joinville'!AG8</f>
        <v>9969.6830874919</v>
      </c>
      <c r="E17" s="273" t="n">
        <f aca="false">'Base Joinville'!AK8*12+'Base Joinville'!AL8*4+'Base Joinville'!AM8*2+'Base Joinville'!AN8</f>
        <v>12185.9436378413</v>
      </c>
      <c r="IO17" s="16"/>
      <c r="IP17" s="16"/>
      <c r="IQ17" s="16"/>
      <c r="IR17" s="16"/>
      <c r="IS17" s="16"/>
      <c r="IT17" s="16"/>
      <c r="IU17" s="16"/>
      <c r="IV17" s="16"/>
      <c r="IW17" s="16"/>
      <c r="IX17" s="16"/>
      <c r="IY17" s="16"/>
      <c r="IZ17" s="16"/>
      <c r="JA17" s="16"/>
      <c r="JB17" s="16"/>
      <c r="JC17" s="16"/>
      <c r="JD17" s="16"/>
      <c r="JE17" s="16"/>
      <c r="JF17" s="16"/>
      <c r="JG17" s="16"/>
      <c r="JH17" s="16"/>
      <c r="JI17" s="16"/>
      <c r="JJ17" s="16"/>
      <c r="JK17" s="16"/>
      <c r="JL17" s="16"/>
      <c r="JM17" s="16"/>
      <c r="JN17" s="16"/>
      <c r="JO17" s="16"/>
      <c r="JP17" s="16"/>
      <c r="JQ17" s="16"/>
      <c r="JR17" s="16"/>
      <c r="JS17" s="16"/>
      <c r="JT17" s="16"/>
      <c r="JU17" s="16"/>
      <c r="JV17" s="16"/>
      <c r="JW17" s="16"/>
      <c r="JX17" s="16"/>
      <c r="JY17" s="16"/>
      <c r="JZ17" s="16"/>
      <c r="KA17" s="16"/>
      <c r="KB17" s="16"/>
      <c r="KC17" s="16"/>
      <c r="KD17" s="16"/>
      <c r="KE17" s="16"/>
      <c r="KF17" s="16"/>
      <c r="KG17" s="16"/>
      <c r="KH17" s="16"/>
      <c r="KI17" s="16"/>
      <c r="KJ17" s="16"/>
      <c r="KK17" s="16"/>
      <c r="KL17" s="16"/>
      <c r="KM17" s="16"/>
      <c r="KN17" s="16"/>
      <c r="KO17" s="16"/>
      <c r="KP17" s="16"/>
      <c r="KQ17" s="16"/>
      <c r="KR17" s="16"/>
      <c r="KS17" s="16"/>
      <c r="KT17" s="16"/>
      <c r="KU17" s="16"/>
      <c r="KV17" s="16"/>
      <c r="KW17" s="16"/>
      <c r="KX17" s="16"/>
      <c r="KY17" s="16"/>
      <c r="KZ17" s="16"/>
      <c r="LA17" s="16"/>
      <c r="LB17" s="16"/>
      <c r="LC17" s="16"/>
      <c r="LD17" s="16"/>
      <c r="LE17" s="16"/>
      <c r="LF17" s="16"/>
      <c r="LG17" s="16"/>
      <c r="LH17" s="16"/>
      <c r="LI17" s="16"/>
      <c r="LJ17" s="16"/>
      <c r="LK17" s="16"/>
      <c r="LL17" s="16"/>
      <c r="LM17" s="16"/>
      <c r="LN17" s="16"/>
      <c r="LO17" s="16"/>
      <c r="LP17" s="16"/>
      <c r="LQ17" s="16"/>
      <c r="LR17" s="16"/>
      <c r="LS17" s="16"/>
      <c r="LT17" s="16"/>
      <c r="LU17" s="16"/>
      <c r="LV17" s="16"/>
      <c r="LW17" s="16"/>
      <c r="LX17" s="16"/>
      <c r="LY17" s="16"/>
      <c r="LZ17" s="16"/>
      <c r="MA17" s="16"/>
      <c r="MB17" s="16"/>
      <c r="MC17" s="16"/>
      <c r="MD17" s="16"/>
      <c r="ME17" s="16"/>
      <c r="MF17" s="16"/>
      <c r="MG17" s="16"/>
      <c r="MH17" s="16"/>
      <c r="MI17" s="16"/>
      <c r="MJ17" s="16"/>
      <c r="MK17" s="16"/>
      <c r="ML17" s="16"/>
      <c r="MM17" s="16"/>
      <c r="MN17" s="16"/>
      <c r="MO17" s="16"/>
      <c r="MP17" s="16"/>
      <c r="MQ17" s="16"/>
      <c r="MR17" s="16"/>
      <c r="MS17" s="16"/>
      <c r="MT17" s="16"/>
      <c r="MU17" s="16"/>
      <c r="MV17" s="16"/>
      <c r="MW17" s="16"/>
      <c r="MX17" s="16"/>
      <c r="MY17" s="16"/>
      <c r="MZ17" s="16"/>
      <c r="NA17" s="16"/>
      <c r="NB17" s="16"/>
      <c r="NC17" s="16"/>
      <c r="ND17" s="16"/>
      <c r="NE17" s="16"/>
      <c r="NF17" s="16"/>
      <c r="NG17" s="16"/>
      <c r="NH17" s="16"/>
      <c r="NI17" s="16"/>
      <c r="NJ17" s="16"/>
      <c r="NK17" s="16"/>
      <c r="NL17" s="16"/>
      <c r="NM17" s="16"/>
      <c r="NN17" s="16"/>
      <c r="NO17" s="16"/>
      <c r="NP17" s="16"/>
      <c r="NQ17" s="16"/>
      <c r="NR17" s="16"/>
      <c r="NS17" s="16"/>
      <c r="NT17" s="16"/>
      <c r="NU17" s="16"/>
      <c r="NV17" s="16"/>
      <c r="NW17" s="16"/>
      <c r="NX17" s="16"/>
      <c r="NY17" s="16"/>
      <c r="NZ17" s="16"/>
      <c r="OA17" s="16"/>
      <c r="OB17" s="16"/>
      <c r="OC17" s="16"/>
      <c r="OD17" s="16"/>
      <c r="OE17" s="16"/>
      <c r="OF17" s="16"/>
      <c r="OG17" s="16"/>
      <c r="OH17" s="16"/>
      <c r="OI17" s="16"/>
      <c r="OJ17" s="16"/>
      <c r="OK17" s="16"/>
      <c r="OL17" s="16"/>
      <c r="OM17" s="16"/>
      <c r="ON17" s="16"/>
      <c r="OO17" s="16"/>
      <c r="OP17" s="16"/>
      <c r="OQ17" s="16"/>
      <c r="OR17" s="16"/>
      <c r="OS17" s="16"/>
      <c r="OT17" s="16"/>
      <c r="OU17" s="16"/>
      <c r="OV17" s="16"/>
      <c r="OW17" s="16"/>
      <c r="OX17" s="16"/>
      <c r="OY17" s="16"/>
      <c r="OZ17" s="16"/>
      <c r="PA17" s="16"/>
      <c r="PB17" s="16"/>
      <c r="PC17" s="16"/>
      <c r="PD17" s="16"/>
      <c r="PE17" s="16"/>
      <c r="PF17" s="16"/>
      <c r="PG17" s="16"/>
      <c r="PH17" s="16"/>
      <c r="PI17" s="16"/>
      <c r="PJ17" s="16"/>
      <c r="PK17" s="16"/>
      <c r="PL17" s="16"/>
      <c r="PM17" s="16"/>
      <c r="PN17" s="16"/>
      <c r="PO17" s="16"/>
      <c r="PP17" s="16"/>
      <c r="PQ17" s="16"/>
      <c r="PR17" s="16"/>
      <c r="PS17" s="16"/>
      <c r="PT17" s="16"/>
      <c r="PU17" s="16"/>
      <c r="PV17" s="16"/>
      <c r="PW17" s="16"/>
      <c r="PX17" s="16"/>
      <c r="PY17" s="16"/>
      <c r="PZ17" s="16"/>
      <c r="QA17" s="16"/>
      <c r="QB17" s="16"/>
      <c r="QC17" s="16"/>
      <c r="QD17" s="16"/>
      <c r="QE17" s="16"/>
      <c r="QF17" s="16"/>
      <c r="QG17" s="16"/>
      <c r="QH17" s="16"/>
      <c r="QI17" s="16"/>
      <c r="QJ17" s="16"/>
      <c r="QK17" s="16"/>
      <c r="QL17" s="16"/>
      <c r="QM17" s="16"/>
      <c r="QN17" s="16"/>
      <c r="QO17" s="16"/>
      <c r="QP17" s="16"/>
      <c r="QQ17" s="16"/>
      <c r="QR17" s="16"/>
      <c r="QS17" s="16"/>
      <c r="QT17" s="16"/>
      <c r="QU17" s="16"/>
      <c r="QV17" s="16"/>
      <c r="QW17" s="16"/>
      <c r="QX17" s="16"/>
      <c r="QY17" s="16"/>
      <c r="QZ17" s="16"/>
      <c r="RA17" s="16"/>
      <c r="RB17" s="16"/>
      <c r="RC17" s="16"/>
      <c r="RD17" s="16"/>
      <c r="RE17" s="16"/>
      <c r="RF17" s="16"/>
      <c r="RG17" s="16"/>
      <c r="RH17" s="16"/>
      <c r="RI17" s="16"/>
      <c r="RJ17" s="16"/>
      <c r="RK17" s="16"/>
      <c r="RL17" s="16"/>
      <c r="RM17" s="16"/>
      <c r="RN17" s="16"/>
      <c r="RO17" s="16"/>
      <c r="RP17" s="16"/>
      <c r="RQ17" s="16"/>
      <c r="RR17" s="16"/>
      <c r="RS17" s="16"/>
      <c r="RT17" s="16"/>
      <c r="RU17" s="16"/>
      <c r="RV17" s="16"/>
      <c r="RW17" s="16"/>
      <c r="RX17" s="16"/>
      <c r="RY17" s="16"/>
      <c r="RZ17" s="16"/>
      <c r="SA17" s="16"/>
      <c r="SB17" s="16"/>
      <c r="SC17" s="16"/>
      <c r="SD17" s="16"/>
      <c r="SE17" s="16"/>
      <c r="SF17" s="16"/>
      <c r="SG17" s="16"/>
      <c r="SH17" s="16"/>
      <c r="SI17" s="16"/>
      <c r="SJ17" s="16"/>
      <c r="SK17" s="16"/>
      <c r="SL17" s="16"/>
      <c r="SM17" s="16"/>
      <c r="SN17" s="16"/>
      <c r="SO17" s="16"/>
      <c r="SP17" s="16"/>
      <c r="SQ17" s="16"/>
      <c r="SR17" s="16"/>
      <c r="SS17" s="16"/>
      <c r="ST17" s="16"/>
      <c r="SU17" s="16"/>
      <c r="SV17" s="16"/>
      <c r="SW17" s="16"/>
      <c r="SX17" s="16"/>
      <c r="SY17" s="16"/>
      <c r="SZ17" s="16"/>
      <c r="TA17" s="16"/>
      <c r="TB17" s="16"/>
      <c r="TC17" s="16"/>
      <c r="TD17" s="16"/>
      <c r="TE17" s="16"/>
      <c r="TF17" s="16"/>
      <c r="TG17" s="16"/>
      <c r="TH17" s="16"/>
      <c r="TI17" s="16"/>
      <c r="TJ17" s="16"/>
      <c r="TK17" s="16"/>
      <c r="TL17" s="16"/>
      <c r="TM17" s="16"/>
      <c r="TN17" s="16"/>
      <c r="TO17" s="16"/>
      <c r="TP17" s="16"/>
      <c r="TQ17" s="16"/>
      <c r="TR17" s="16"/>
      <c r="TS17" s="16"/>
      <c r="TT17" s="16"/>
      <c r="TU17" s="16"/>
      <c r="TV17" s="16"/>
      <c r="TW17" s="16"/>
      <c r="TX17" s="16"/>
      <c r="TY17" s="16"/>
      <c r="TZ17" s="16"/>
      <c r="UA17" s="16"/>
      <c r="UB17" s="16"/>
      <c r="UC17" s="16"/>
      <c r="UD17" s="16"/>
      <c r="UE17" s="16"/>
      <c r="UF17" s="16"/>
      <c r="UG17" s="16"/>
      <c r="UH17" s="16"/>
      <c r="UI17" s="16"/>
      <c r="UJ17" s="16"/>
      <c r="UK17" s="16"/>
      <c r="UL17" s="16"/>
      <c r="UM17" s="16"/>
      <c r="UN17" s="16"/>
      <c r="UO17" s="16"/>
      <c r="UP17" s="16"/>
      <c r="UQ17" s="16"/>
      <c r="UR17" s="16"/>
      <c r="US17" s="16"/>
      <c r="UT17" s="16"/>
      <c r="UU17" s="16"/>
      <c r="UV17" s="16"/>
      <c r="UW17" s="16"/>
      <c r="UX17" s="16"/>
      <c r="UY17" s="16"/>
      <c r="UZ17" s="16"/>
      <c r="VA17" s="16"/>
      <c r="VB17" s="16"/>
      <c r="VC17" s="16"/>
      <c r="VD17" s="16"/>
      <c r="VE17" s="16"/>
      <c r="VF17" s="16"/>
      <c r="VG17" s="16"/>
      <c r="VH17" s="16"/>
      <c r="VI17" s="16"/>
      <c r="VJ17" s="16"/>
      <c r="VK17" s="16"/>
      <c r="VL17" s="16"/>
      <c r="VM17" s="16"/>
      <c r="VN17" s="16"/>
      <c r="VO17" s="16"/>
      <c r="VP17" s="16"/>
      <c r="VQ17" s="16"/>
      <c r="VR17" s="16"/>
      <c r="VS17" s="16"/>
      <c r="VT17" s="16"/>
      <c r="VU17" s="16"/>
      <c r="VV17" s="16"/>
      <c r="VW17" s="16"/>
      <c r="VX17" s="16"/>
      <c r="VY17" s="16"/>
      <c r="VZ17" s="16"/>
      <c r="WA17" s="16"/>
      <c r="WB17" s="16"/>
      <c r="WC17" s="16"/>
      <c r="WD17" s="16"/>
      <c r="WE17" s="16"/>
      <c r="WF17" s="16"/>
      <c r="WG17" s="16"/>
      <c r="WH17" s="16"/>
      <c r="WI17" s="16"/>
      <c r="WJ17" s="16"/>
      <c r="WK17" s="16"/>
      <c r="WL17" s="16"/>
      <c r="WM17" s="16"/>
      <c r="WN17" s="16"/>
      <c r="WO17" s="16"/>
      <c r="WP17" s="16"/>
      <c r="WQ17" s="16"/>
      <c r="WR17" s="16"/>
      <c r="WS17" s="16"/>
      <c r="WT17" s="16"/>
      <c r="WU17" s="16"/>
      <c r="WV17" s="16"/>
      <c r="WW17" s="16"/>
      <c r="WX17" s="16"/>
      <c r="WY17" s="16"/>
      <c r="WZ17" s="16"/>
      <c r="XA17" s="16"/>
      <c r="XB17" s="16"/>
      <c r="XC17" s="16"/>
      <c r="XD17" s="16"/>
      <c r="XE17" s="16"/>
      <c r="XF17" s="16"/>
      <c r="XG17" s="16"/>
      <c r="XH17" s="16"/>
      <c r="XI17" s="16"/>
      <c r="XJ17" s="16"/>
      <c r="XK17" s="16"/>
      <c r="XL17" s="16"/>
      <c r="XM17" s="16"/>
      <c r="XN17" s="16"/>
      <c r="XO17" s="16"/>
      <c r="XP17" s="16"/>
      <c r="XQ17" s="16"/>
      <c r="XR17" s="16"/>
      <c r="XS17" s="16"/>
      <c r="XT17" s="16"/>
      <c r="XU17" s="16"/>
      <c r="XV17" s="16"/>
      <c r="XW17" s="16"/>
      <c r="XX17" s="16"/>
      <c r="XY17" s="16"/>
      <c r="XZ17" s="16"/>
      <c r="YA17" s="16"/>
      <c r="YB17" s="16"/>
      <c r="YC17" s="16"/>
      <c r="YD17" s="16"/>
      <c r="YE17" s="16"/>
      <c r="YF17" s="16"/>
      <c r="YG17" s="16"/>
      <c r="YH17" s="16"/>
      <c r="YI17" s="16"/>
      <c r="YJ17" s="16"/>
      <c r="YK17" s="16"/>
      <c r="YL17" s="16"/>
      <c r="YM17" s="16"/>
      <c r="YN17" s="16"/>
      <c r="YO17" s="16"/>
      <c r="YP17" s="16"/>
      <c r="YQ17" s="16"/>
      <c r="YR17" s="16"/>
      <c r="YS17" s="16"/>
      <c r="YT17" s="16"/>
      <c r="YU17" s="16"/>
      <c r="YV17" s="16"/>
      <c r="YW17" s="16"/>
      <c r="YX17" s="16"/>
      <c r="YY17" s="16"/>
      <c r="YZ17" s="16"/>
      <c r="ZA17" s="16"/>
      <c r="ZB17" s="16"/>
      <c r="ZC17" s="16"/>
      <c r="ZD17" s="16"/>
      <c r="ZE17" s="16"/>
      <c r="ZF17" s="16"/>
      <c r="ZG17" s="16"/>
      <c r="ZH17" s="16"/>
      <c r="ZI17" s="16"/>
      <c r="ZJ17" s="16"/>
      <c r="ZK17" s="16"/>
      <c r="ZL17" s="16"/>
      <c r="ZM17" s="16"/>
      <c r="ZN17" s="16"/>
      <c r="ZO17" s="16"/>
      <c r="ZP17" s="16"/>
      <c r="ZQ17" s="16"/>
      <c r="ZR17" s="16"/>
      <c r="ZS17" s="16"/>
      <c r="ZT17" s="16"/>
      <c r="ZU17" s="16"/>
      <c r="ZV17" s="16"/>
      <c r="ZW17" s="16"/>
      <c r="ZX17" s="16"/>
      <c r="ZY17" s="16"/>
      <c r="ZZ17" s="16"/>
      <c r="AAA17" s="16"/>
      <c r="AAB17" s="16"/>
      <c r="AAC17" s="16"/>
      <c r="AAD17" s="16"/>
      <c r="AAE17" s="16"/>
      <c r="AAF17" s="16"/>
      <c r="AAG17" s="16"/>
      <c r="AAH17" s="16"/>
      <c r="AAI17" s="16"/>
      <c r="AAJ17" s="16"/>
      <c r="AAK17" s="16"/>
      <c r="AAL17" s="16"/>
      <c r="AAM17" s="16"/>
      <c r="AAN17" s="16"/>
      <c r="AAO17" s="16"/>
      <c r="AAP17" s="16"/>
      <c r="AAQ17" s="16"/>
      <c r="AAR17" s="16"/>
      <c r="AAS17" s="16"/>
      <c r="AAT17" s="16"/>
      <c r="AAU17" s="16"/>
      <c r="AAV17" s="16"/>
      <c r="AAW17" s="16"/>
      <c r="AAX17" s="16"/>
      <c r="AAY17" s="16"/>
      <c r="AAZ17" s="16"/>
      <c r="ABA17" s="16"/>
      <c r="ABB17" s="16"/>
      <c r="ABC17" s="16"/>
      <c r="ABD17" s="16"/>
      <c r="ABE17" s="16"/>
      <c r="ABF17" s="16"/>
      <c r="ABG17" s="16"/>
      <c r="ABH17" s="16"/>
      <c r="ABI17" s="16"/>
      <c r="ABJ17" s="16"/>
      <c r="ABK17" s="16"/>
      <c r="ABL17" s="16"/>
      <c r="ABM17" s="16"/>
      <c r="ABN17" s="16"/>
      <c r="ABO17" s="16"/>
      <c r="ABP17" s="16"/>
      <c r="ABQ17" s="16"/>
      <c r="ABR17" s="16"/>
      <c r="ABS17" s="16"/>
      <c r="ABT17" s="16"/>
      <c r="ABU17" s="16"/>
      <c r="ABV17" s="16"/>
      <c r="ABW17" s="16"/>
      <c r="ABX17" s="16"/>
      <c r="ABY17" s="16"/>
      <c r="ABZ17" s="16"/>
      <c r="ACA17" s="16"/>
      <c r="ACB17" s="16"/>
      <c r="ACC17" s="16"/>
      <c r="ACD17" s="16"/>
      <c r="ACE17" s="16"/>
      <c r="ACF17" s="16"/>
      <c r="ACG17" s="16"/>
      <c r="ACH17" s="16"/>
      <c r="ACI17" s="16"/>
      <c r="ACJ17" s="16"/>
      <c r="ACK17" s="16"/>
      <c r="ACL17" s="16"/>
      <c r="ACM17" s="16"/>
      <c r="ACN17" s="16"/>
      <c r="ACO17" s="16"/>
      <c r="ACP17" s="16"/>
      <c r="ACQ17" s="16"/>
      <c r="ACR17" s="16"/>
      <c r="ACS17" s="16"/>
      <c r="ACT17" s="16"/>
      <c r="ACU17" s="16"/>
      <c r="ACV17" s="16"/>
      <c r="ACW17" s="16"/>
      <c r="ACX17" s="16"/>
      <c r="ACY17" s="16"/>
      <c r="ACZ17" s="16"/>
      <c r="ADA17" s="16"/>
      <c r="ADB17" s="16"/>
      <c r="ADC17" s="16"/>
      <c r="ADD17" s="16"/>
      <c r="ADE17" s="16"/>
      <c r="ADF17" s="16"/>
      <c r="ADG17" s="16"/>
      <c r="ADH17" s="16"/>
      <c r="ADI17" s="16"/>
      <c r="ADJ17" s="16"/>
      <c r="ADK17" s="16"/>
      <c r="ADL17" s="16"/>
      <c r="ADM17" s="16"/>
      <c r="ADN17" s="16"/>
      <c r="ADO17" s="16"/>
      <c r="ADP17" s="16"/>
      <c r="ADQ17" s="16"/>
      <c r="ADR17" s="16"/>
      <c r="ADS17" s="16"/>
      <c r="ADT17" s="16"/>
      <c r="ADU17" s="16"/>
      <c r="ADV17" s="16"/>
      <c r="ADW17" s="16"/>
      <c r="ADX17" s="16"/>
      <c r="ADY17" s="16"/>
      <c r="ADZ17" s="16"/>
      <c r="AEA17" s="16"/>
      <c r="AEB17" s="16"/>
      <c r="AEC17" s="16"/>
      <c r="AED17" s="16"/>
      <c r="AEE17" s="16"/>
      <c r="AEF17" s="16"/>
      <c r="AEG17" s="16"/>
      <c r="AEH17" s="16"/>
      <c r="AEI17" s="16"/>
      <c r="AEJ17" s="16"/>
      <c r="AEK17" s="16"/>
      <c r="AEL17" s="16"/>
      <c r="AEM17" s="16"/>
      <c r="AEN17" s="16"/>
      <c r="AEO17" s="16"/>
      <c r="AEP17" s="16"/>
      <c r="AEQ17" s="16"/>
      <c r="AER17" s="16"/>
      <c r="AES17" s="16"/>
      <c r="AET17" s="16"/>
      <c r="AEU17" s="16"/>
      <c r="AEV17" s="16"/>
      <c r="AEW17" s="16"/>
      <c r="AEX17" s="16"/>
      <c r="AEY17" s="16"/>
      <c r="AEZ17" s="16"/>
      <c r="AFA17" s="16"/>
      <c r="AFB17" s="16"/>
      <c r="AFC17" s="16"/>
      <c r="AFD17" s="16"/>
      <c r="AFE17" s="16"/>
      <c r="AFF17" s="16"/>
      <c r="AFG17" s="16"/>
      <c r="AFH17" s="16"/>
      <c r="AFI17" s="16"/>
      <c r="AFJ17" s="16"/>
      <c r="AFK17" s="16"/>
      <c r="AFL17" s="16"/>
      <c r="AFM17" s="16"/>
      <c r="AFN17" s="16"/>
      <c r="AFO17" s="16"/>
      <c r="AFP17" s="16"/>
      <c r="AFQ17" s="16"/>
      <c r="AFR17" s="16"/>
      <c r="AFS17" s="16"/>
      <c r="AFT17" s="16"/>
      <c r="AFU17" s="16"/>
      <c r="AFV17" s="16"/>
      <c r="AFW17" s="16"/>
      <c r="AFX17" s="16"/>
      <c r="AFY17" s="16"/>
      <c r="AFZ17" s="16"/>
      <c r="AGA17" s="16"/>
      <c r="AGB17" s="16"/>
      <c r="AGC17" s="16"/>
      <c r="AGD17" s="16"/>
      <c r="AGE17" s="16"/>
      <c r="AGF17" s="16"/>
      <c r="AGG17" s="16"/>
      <c r="AGH17" s="16"/>
      <c r="AGI17" s="16"/>
      <c r="AGJ17" s="16"/>
      <c r="AGK17" s="16"/>
      <c r="AGL17" s="16"/>
      <c r="AGM17" s="16"/>
      <c r="AGN17" s="16"/>
      <c r="AGO17" s="16"/>
      <c r="AGP17" s="16"/>
      <c r="AGQ17" s="16"/>
      <c r="AGR17" s="16"/>
      <c r="AGS17" s="16"/>
      <c r="AGT17" s="16"/>
      <c r="AGU17" s="16"/>
      <c r="AGV17" s="16"/>
      <c r="AGW17" s="16"/>
      <c r="AGX17" s="16"/>
      <c r="AGY17" s="16"/>
      <c r="AGZ17" s="16"/>
      <c r="AHA17" s="16"/>
      <c r="AHB17" s="16"/>
      <c r="AHC17" s="16"/>
      <c r="AHD17" s="16"/>
      <c r="AHE17" s="16"/>
      <c r="AHF17" s="16"/>
      <c r="AHG17" s="16"/>
      <c r="AHH17" s="16"/>
      <c r="AHI17" s="16"/>
      <c r="AHJ17" s="16"/>
      <c r="AHK17" s="16"/>
      <c r="AHL17" s="16"/>
      <c r="AHM17" s="16"/>
      <c r="AHN17" s="16"/>
      <c r="AHO17" s="16"/>
      <c r="AHP17" s="16"/>
      <c r="AHQ17" s="16"/>
      <c r="AHR17" s="16"/>
      <c r="AHS17" s="16"/>
      <c r="AHT17" s="16"/>
      <c r="AHU17" s="16"/>
      <c r="AHV17" s="16"/>
      <c r="AHW17" s="16"/>
      <c r="AHX17" s="16"/>
      <c r="AHY17" s="16"/>
      <c r="AHZ17" s="16"/>
      <c r="AIA17" s="16"/>
      <c r="AIB17" s="16"/>
      <c r="AIC17" s="16"/>
      <c r="AID17" s="16"/>
      <c r="AIE17" s="16"/>
      <c r="AIF17" s="16"/>
      <c r="AIG17" s="16"/>
      <c r="AIH17" s="16"/>
      <c r="AII17" s="16"/>
      <c r="AIJ17" s="16"/>
      <c r="AIK17" s="16"/>
      <c r="AIL17" s="16"/>
      <c r="AIM17" s="16"/>
      <c r="AIN17" s="16"/>
      <c r="AIO17" s="16"/>
      <c r="AIP17" s="16"/>
      <c r="AIQ17" s="16"/>
      <c r="AIR17" s="16"/>
      <c r="AIS17" s="16"/>
      <c r="AIT17" s="16"/>
      <c r="AIU17" s="16"/>
      <c r="AIV17" s="16"/>
      <c r="AIW17" s="16"/>
      <c r="AIX17" s="16"/>
      <c r="AIY17" s="16"/>
      <c r="AIZ17" s="16"/>
      <c r="AJA17" s="16"/>
      <c r="AJB17" s="16"/>
      <c r="AJC17" s="16"/>
      <c r="AJD17" s="16"/>
      <c r="AJE17" s="16"/>
      <c r="AJF17" s="16"/>
      <c r="AJG17" s="16"/>
      <c r="AJH17" s="16"/>
      <c r="AJI17" s="16"/>
      <c r="AJJ17" s="16"/>
      <c r="AJK17" s="16"/>
      <c r="AJL17" s="16"/>
      <c r="AJM17" s="16"/>
      <c r="AJN17" s="16"/>
      <c r="AJO17" s="16"/>
      <c r="AJP17" s="16"/>
      <c r="AJQ17" s="16"/>
      <c r="AJR17" s="16"/>
      <c r="AJS17" s="16"/>
      <c r="AJT17" s="16"/>
      <c r="AJU17" s="16"/>
      <c r="AJV17" s="16"/>
      <c r="AJW17" s="16"/>
      <c r="AJX17" s="16"/>
      <c r="AJY17" s="16"/>
      <c r="AJZ17" s="16"/>
      <c r="AKA17" s="16"/>
      <c r="AKB17" s="16"/>
      <c r="AKC17" s="16"/>
      <c r="AKD17" s="16"/>
      <c r="AKE17" s="16"/>
      <c r="AKF17" s="16"/>
      <c r="AKG17" s="16"/>
      <c r="AKH17" s="16"/>
      <c r="AKI17" s="16"/>
      <c r="AKJ17" s="16"/>
      <c r="AKK17" s="16"/>
      <c r="AKL17" s="16"/>
      <c r="AKM17" s="16"/>
      <c r="AKN17" s="16"/>
      <c r="AKO17" s="16"/>
      <c r="AKP17" s="16"/>
      <c r="AKQ17" s="16"/>
      <c r="AKR17" s="16"/>
      <c r="AKS17" s="16"/>
      <c r="AKT17" s="16"/>
      <c r="AKU17" s="16"/>
      <c r="AKV17" s="16"/>
      <c r="AKW17" s="16"/>
      <c r="AKX17" s="16"/>
      <c r="AKY17" s="16"/>
      <c r="AKZ17" s="16"/>
      <c r="ALA17" s="16"/>
      <c r="ALB17" s="16"/>
      <c r="ALC17" s="16"/>
      <c r="ALD17" s="16"/>
      <c r="ALE17" s="16"/>
      <c r="ALF17" s="16"/>
      <c r="ALG17" s="16"/>
      <c r="ALH17" s="16"/>
      <c r="ALI17" s="16"/>
      <c r="ALJ17" s="16"/>
      <c r="ALK17" s="16"/>
      <c r="ALL17" s="16"/>
      <c r="ALM17" s="16"/>
      <c r="ALN17" s="16"/>
      <c r="ALO17" s="16"/>
      <c r="ALP17" s="16"/>
      <c r="ALQ17" s="16"/>
      <c r="ALR17" s="16"/>
      <c r="ALS17" s="16"/>
      <c r="ALT17" s="16"/>
      <c r="ALU17" s="16"/>
      <c r="ALV17" s="16"/>
      <c r="ALW17" s="16"/>
      <c r="ALX17" s="16"/>
      <c r="ALY17" s="16"/>
      <c r="ALZ17" s="16"/>
      <c r="AMA17" s="16"/>
      <c r="AMB17" s="16"/>
      <c r="AMC17" s="16"/>
      <c r="AMD17" s="16"/>
    </row>
    <row r="18" customFormat="false" ht="15" hidden="false" customHeight="true" outlineLevel="0" collapsed="false">
      <c r="A18" s="16"/>
      <c r="B18" s="64" t="s">
        <v>133</v>
      </c>
      <c r="C18" s="272" t="n">
        <f aca="false">VLOOKUP(B18,Unidades!$D$5:$G$24,4,)</f>
        <v>0.02</v>
      </c>
      <c r="D18" s="273" t="n">
        <f aca="false">'Base Joinville'!AD9*12+'Base Joinville'!AE9*4+'Base Joinville'!AF9*2+'Base Joinville'!AG9</f>
        <v>16177.216257615</v>
      </c>
      <c r="E18" s="273" t="n">
        <f aca="false">'Base Joinville'!AK9*12+'Base Joinville'!AL9*4+'Base Joinville'!AM9*2+'Base Joinville'!AN9</f>
        <v>19773.4114316829</v>
      </c>
      <c r="IO18" s="16"/>
      <c r="IP18" s="16"/>
      <c r="IQ18" s="16"/>
      <c r="IR18" s="16"/>
      <c r="IS18" s="16"/>
      <c r="IT18" s="16"/>
      <c r="IU18" s="16"/>
      <c r="IV18" s="16"/>
      <c r="IW18" s="16"/>
      <c r="IX18" s="16"/>
      <c r="IY18" s="16"/>
      <c r="IZ18" s="16"/>
      <c r="JA18" s="16"/>
      <c r="JB18" s="16"/>
      <c r="JC18" s="16"/>
      <c r="JD18" s="16"/>
      <c r="JE18" s="16"/>
      <c r="JF18" s="16"/>
      <c r="JG18" s="16"/>
      <c r="JH18" s="16"/>
      <c r="JI18" s="16"/>
      <c r="JJ18" s="16"/>
      <c r="JK18" s="16"/>
      <c r="JL18" s="16"/>
      <c r="JM18" s="16"/>
      <c r="JN18" s="16"/>
      <c r="JO18" s="16"/>
      <c r="JP18" s="16"/>
      <c r="JQ18" s="16"/>
      <c r="JR18" s="16"/>
      <c r="JS18" s="16"/>
      <c r="JT18" s="16"/>
      <c r="JU18" s="16"/>
      <c r="JV18" s="16"/>
      <c r="JW18" s="16"/>
      <c r="JX18" s="16"/>
      <c r="JY18" s="16"/>
      <c r="JZ18" s="16"/>
      <c r="KA18" s="16"/>
      <c r="KB18" s="16"/>
      <c r="KC18" s="16"/>
      <c r="KD18" s="16"/>
      <c r="KE18" s="16"/>
      <c r="KF18" s="16"/>
      <c r="KG18" s="16"/>
      <c r="KH18" s="16"/>
      <c r="KI18" s="16"/>
      <c r="KJ18" s="16"/>
      <c r="KK18" s="16"/>
      <c r="KL18" s="16"/>
      <c r="KM18" s="16"/>
      <c r="KN18" s="16"/>
      <c r="KO18" s="16"/>
      <c r="KP18" s="16"/>
      <c r="KQ18" s="16"/>
      <c r="KR18" s="16"/>
      <c r="KS18" s="16"/>
      <c r="KT18" s="16"/>
      <c r="KU18" s="16"/>
      <c r="KV18" s="16"/>
      <c r="KW18" s="16"/>
      <c r="KX18" s="16"/>
      <c r="KY18" s="16"/>
      <c r="KZ18" s="16"/>
      <c r="LA18" s="16"/>
      <c r="LB18" s="16"/>
      <c r="LC18" s="16"/>
      <c r="LD18" s="16"/>
      <c r="LE18" s="16"/>
      <c r="LF18" s="16"/>
      <c r="LG18" s="16"/>
      <c r="LH18" s="16"/>
      <c r="LI18" s="16"/>
      <c r="LJ18" s="16"/>
      <c r="LK18" s="16"/>
      <c r="LL18" s="16"/>
      <c r="LM18" s="16"/>
      <c r="LN18" s="16"/>
      <c r="LO18" s="16"/>
      <c r="LP18" s="16"/>
      <c r="LQ18" s="16"/>
      <c r="LR18" s="16"/>
      <c r="LS18" s="16"/>
      <c r="LT18" s="16"/>
      <c r="LU18" s="16"/>
      <c r="LV18" s="16"/>
      <c r="LW18" s="16"/>
      <c r="LX18" s="16"/>
      <c r="LY18" s="16"/>
      <c r="LZ18" s="16"/>
      <c r="MA18" s="16"/>
      <c r="MB18" s="16"/>
      <c r="MC18" s="16"/>
      <c r="MD18" s="16"/>
      <c r="ME18" s="16"/>
      <c r="MF18" s="16"/>
      <c r="MG18" s="16"/>
      <c r="MH18" s="16"/>
      <c r="MI18" s="16"/>
      <c r="MJ18" s="16"/>
      <c r="MK18" s="16"/>
      <c r="ML18" s="16"/>
      <c r="MM18" s="16"/>
      <c r="MN18" s="16"/>
      <c r="MO18" s="16"/>
      <c r="MP18" s="16"/>
      <c r="MQ18" s="16"/>
      <c r="MR18" s="16"/>
      <c r="MS18" s="16"/>
      <c r="MT18" s="16"/>
      <c r="MU18" s="16"/>
      <c r="MV18" s="16"/>
      <c r="MW18" s="16"/>
      <c r="MX18" s="16"/>
      <c r="MY18" s="16"/>
      <c r="MZ18" s="16"/>
      <c r="NA18" s="16"/>
      <c r="NB18" s="16"/>
      <c r="NC18" s="16"/>
      <c r="ND18" s="16"/>
      <c r="NE18" s="16"/>
      <c r="NF18" s="16"/>
      <c r="NG18" s="16"/>
      <c r="NH18" s="16"/>
      <c r="NI18" s="16"/>
      <c r="NJ18" s="16"/>
      <c r="NK18" s="16"/>
      <c r="NL18" s="16"/>
      <c r="NM18" s="16"/>
      <c r="NN18" s="16"/>
      <c r="NO18" s="16"/>
      <c r="NP18" s="16"/>
      <c r="NQ18" s="16"/>
      <c r="NR18" s="16"/>
      <c r="NS18" s="16"/>
      <c r="NT18" s="16"/>
      <c r="NU18" s="16"/>
      <c r="NV18" s="16"/>
      <c r="NW18" s="16"/>
      <c r="NX18" s="16"/>
      <c r="NY18" s="16"/>
      <c r="NZ18" s="16"/>
      <c r="OA18" s="16"/>
      <c r="OB18" s="16"/>
      <c r="OC18" s="16"/>
      <c r="OD18" s="16"/>
      <c r="OE18" s="16"/>
      <c r="OF18" s="16"/>
      <c r="OG18" s="16"/>
      <c r="OH18" s="16"/>
      <c r="OI18" s="16"/>
      <c r="OJ18" s="16"/>
      <c r="OK18" s="16"/>
      <c r="OL18" s="16"/>
      <c r="OM18" s="16"/>
      <c r="ON18" s="16"/>
      <c r="OO18" s="16"/>
      <c r="OP18" s="16"/>
      <c r="OQ18" s="16"/>
      <c r="OR18" s="16"/>
      <c r="OS18" s="16"/>
      <c r="OT18" s="16"/>
      <c r="OU18" s="16"/>
      <c r="OV18" s="16"/>
      <c r="OW18" s="16"/>
      <c r="OX18" s="16"/>
      <c r="OY18" s="16"/>
      <c r="OZ18" s="16"/>
      <c r="PA18" s="16"/>
      <c r="PB18" s="16"/>
      <c r="PC18" s="16"/>
      <c r="PD18" s="16"/>
      <c r="PE18" s="16"/>
      <c r="PF18" s="16"/>
      <c r="PG18" s="16"/>
      <c r="PH18" s="16"/>
      <c r="PI18" s="16"/>
      <c r="PJ18" s="16"/>
      <c r="PK18" s="16"/>
      <c r="PL18" s="16"/>
      <c r="PM18" s="16"/>
      <c r="PN18" s="16"/>
      <c r="PO18" s="16"/>
      <c r="PP18" s="16"/>
      <c r="PQ18" s="16"/>
      <c r="PR18" s="16"/>
      <c r="PS18" s="16"/>
      <c r="PT18" s="16"/>
      <c r="PU18" s="16"/>
      <c r="PV18" s="16"/>
      <c r="PW18" s="16"/>
      <c r="PX18" s="16"/>
      <c r="PY18" s="16"/>
      <c r="PZ18" s="16"/>
      <c r="QA18" s="16"/>
      <c r="QB18" s="16"/>
      <c r="QC18" s="16"/>
      <c r="QD18" s="16"/>
      <c r="QE18" s="16"/>
      <c r="QF18" s="16"/>
      <c r="QG18" s="16"/>
      <c r="QH18" s="16"/>
      <c r="QI18" s="16"/>
      <c r="QJ18" s="16"/>
      <c r="QK18" s="16"/>
      <c r="QL18" s="16"/>
      <c r="QM18" s="16"/>
      <c r="QN18" s="16"/>
      <c r="QO18" s="16"/>
      <c r="QP18" s="16"/>
      <c r="QQ18" s="16"/>
      <c r="QR18" s="16"/>
      <c r="QS18" s="16"/>
      <c r="QT18" s="16"/>
      <c r="QU18" s="16"/>
      <c r="QV18" s="16"/>
      <c r="QW18" s="16"/>
      <c r="QX18" s="16"/>
      <c r="QY18" s="16"/>
      <c r="QZ18" s="16"/>
      <c r="RA18" s="16"/>
      <c r="RB18" s="16"/>
      <c r="RC18" s="16"/>
      <c r="RD18" s="16"/>
      <c r="RE18" s="16"/>
      <c r="RF18" s="16"/>
      <c r="RG18" s="16"/>
      <c r="RH18" s="16"/>
      <c r="RI18" s="16"/>
      <c r="RJ18" s="16"/>
      <c r="RK18" s="16"/>
      <c r="RL18" s="16"/>
      <c r="RM18" s="16"/>
      <c r="RN18" s="16"/>
      <c r="RO18" s="16"/>
      <c r="RP18" s="16"/>
      <c r="RQ18" s="16"/>
      <c r="RR18" s="16"/>
      <c r="RS18" s="16"/>
      <c r="RT18" s="16"/>
      <c r="RU18" s="16"/>
      <c r="RV18" s="16"/>
      <c r="RW18" s="16"/>
      <c r="RX18" s="16"/>
      <c r="RY18" s="16"/>
      <c r="RZ18" s="16"/>
      <c r="SA18" s="16"/>
      <c r="SB18" s="16"/>
      <c r="SC18" s="16"/>
      <c r="SD18" s="16"/>
      <c r="SE18" s="16"/>
      <c r="SF18" s="16"/>
      <c r="SG18" s="16"/>
      <c r="SH18" s="16"/>
      <c r="SI18" s="16"/>
      <c r="SJ18" s="16"/>
      <c r="SK18" s="16"/>
      <c r="SL18" s="16"/>
      <c r="SM18" s="16"/>
      <c r="SN18" s="16"/>
      <c r="SO18" s="16"/>
      <c r="SP18" s="16"/>
      <c r="SQ18" s="16"/>
      <c r="SR18" s="16"/>
      <c r="SS18" s="16"/>
      <c r="ST18" s="16"/>
      <c r="SU18" s="16"/>
      <c r="SV18" s="16"/>
      <c r="SW18" s="16"/>
      <c r="SX18" s="16"/>
      <c r="SY18" s="16"/>
      <c r="SZ18" s="16"/>
      <c r="TA18" s="16"/>
      <c r="TB18" s="16"/>
      <c r="TC18" s="16"/>
      <c r="TD18" s="16"/>
      <c r="TE18" s="16"/>
      <c r="TF18" s="16"/>
      <c r="TG18" s="16"/>
      <c r="TH18" s="16"/>
      <c r="TI18" s="16"/>
      <c r="TJ18" s="16"/>
      <c r="TK18" s="16"/>
      <c r="TL18" s="16"/>
      <c r="TM18" s="16"/>
      <c r="TN18" s="16"/>
      <c r="TO18" s="16"/>
      <c r="TP18" s="16"/>
      <c r="TQ18" s="16"/>
      <c r="TR18" s="16"/>
      <c r="TS18" s="16"/>
      <c r="TT18" s="16"/>
      <c r="TU18" s="16"/>
      <c r="TV18" s="16"/>
      <c r="TW18" s="16"/>
      <c r="TX18" s="16"/>
      <c r="TY18" s="16"/>
      <c r="TZ18" s="16"/>
      <c r="UA18" s="16"/>
      <c r="UB18" s="16"/>
      <c r="UC18" s="16"/>
      <c r="UD18" s="16"/>
      <c r="UE18" s="16"/>
      <c r="UF18" s="16"/>
      <c r="UG18" s="16"/>
      <c r="UH18" s="16"/>
      <c r="UI18" s="16"/>
      <c r="UJ18" s="16"/>
      <c r="UK18" s="16"/>
      <c r="UL18" s="16"/>
      <c r="UM18" s="16"/>
      <c r="UN18" s="16"/>
      <c r="UO18" s="16"/>
      <c r="UP18" s="16"/>
      <c r="UQ18" s="16"/>
      <c r="UR18" s="16"/>
      <c r="US18" s="16"/>
      <c r="UT18" s="16"/>
      <c r="UU18" s="16"/>
      <c r="UV18" s="16"/>
      <c r="UW18" s="16"/>
      <c r="UX18" s="16"/>
      <c r="UY18" s="16"/>
      <c r="UZ18" s="16"/>
      <c r="VA18" s="16"/>
      <c r="VB18" s="16"/>
      <c r="VC18" s="16"/>
      <c r="VD18" s="16"/>
      <c r="VE18" s="16"/>
      <c r="VF18" s="16"/>
      <c r="VG18" s="16"/>
      <c r="VH18" s="16"/>
      <c r="VI18" s="16"/>
      <c r="VJ18" s="16"/>
      <c r="VK18" s="16"/>
      <c r="VL18" s="16"/>
      <c r="VM18" s="16"/>
      <c r="VN18" s="16"/>
      <c r="VO18" s="16"/>
      <c r="VP18" s="16"/>
      <c r="VQ18" s="16"/>
      <c r="VR18" s="16"/>
      <c r="VS18" s="16"/>
      <c r="VT18" s="16"/>
      <c r="VU18" s="16"/>
      <c r="VV18" s="16"/>
      <c r="VW18" s="16"/>
      <c r="VX18" s="16"/>
      <c r="VY18" s="16"/>
      <c r="VZ18" s="16"/>
      <c r="WA18" s="16"/>
      <c r="WB18" s="16"/>
      <c r="WC18" s="16"/>
      <c r="WD18" s="16"/>
      <c r="WE18" s="16"/>
      <c r="WF18" s="16"/>
      <c r="WG18" s="16"/>
      <c r="WH18" s="16"/>
      <c r="WI18" s="16"/>
      <c r="WJ18" s="16"/>
      <c r="WK18" s="16"/>
      <c r="WL18" s="16"/>
      <c r="WM18" s="16"/>
      <c r="WN18" s="16"/>
      <c r="WO18" s="16"/>
      <c r="WP18" s="16"/>
      <c r="WQ18" s="16"/>
      <c r="WR18" s="16"/>
      <c r="WS18" s="16"/>
      <c r="WT18" s="16"/>
      <c r="WU18" s="16"/>
      <c r="WV18" s="16"/>
      <c r="WW18" s="16"/>
      <c r="WX18" s="16"/>
      <c r="WY18" s="16"/>
      <c r="WZ18" s="16"/>
      <c r="XA18" s="16"/>
      <c r="XB18" s="16"/>
      <c r="XC18" s="16"/>
      <c r="XD18" s="16"/>
      <c r="XE18" s="16"/>
      <c r="XF18" s="16"/>
      <c r="XG18" s="16"/>
      <c r="XH18" s="16"/>
      <c r="XI18" s="16"/>
      <c r="XJ18" s="16"/>
      <c r="XK18" s="16"/>
      <c r="XL18" s="16"/>
      <c r="XM18" s="16"/>
      <c r="XN18" s="16"/>
      <c r="XO18" s="16"/>
      <c r="XP18" s="16"/>
      <c r="XQ18" s="16"/>
      <c r="XR18" s="16"/>
      <c r="XS18" s="16"/>
      <c r="XT18" s="16"/>
      <c r="XU18" s="16"/>
      <c r="XV18" s="16"/>
      <c r="XW18" s="16"/>
      <c r="XX18" s="16"/>
      <c r="XY18" s="16"/>
      <c r="XZ18" s="16"/>
      <c r="YA18" s="16"/>
      <c r="YB18" s="16"/>
      <c r="YC18" s="16"/>
      <c r="YD18" s="16"/>
      <c r="YE18" s="16"/>
      <c r="YF18" s="16"/>
      <c r="YG18" s="16"/>
      <c r="YH18" s="16"/>
      <c r="YI18" s="16"/>
      <c r="YJ18" s="16"/>
      <c r="YK18" s="16"/>
      <c r="YL18" s="16"/>
      <c r="YM18" s="16"/>
      <c r="YN18" s="16"/>
      <c r="YO18" s="16"/>
      <c r="YP18" s="16"/>
      <c r="YQ18" s="16"/>
      <c r="YR18" s="16"/>
      <c r="YS18" s="16"/>
      <c r="YT18" s="16"/>
      <c r="YU18" s="16"/>
      <c r="YV18" s="16"/>
      <c r="YW18" s="16"/>
      <c r="YX18" s="16"/>
      <c r="YY18" s="16"/>
      <c r="YZ18" s="16"/>
      <c r="ZA18" s="16"/>
      <c r="ZB18" s="16"/>
      <c r="ZC18" s="16"/>
      <c r="ZD18" s="16"/>
      <c r="ZE18" s="16"/>
      <c r="ZF18" s="16"/>
      <c r="ZG18" s="16"/>
      <c r="ZH18" s="16"/>
      <c r="ZI18" s="16"/>
      <c r="ZJ18" s="16"/>
      <c r="ZK18" s="16"/>
      <c r="ZL18" s="16"/>
      <c r="ZM18" s="16"/>
      <c r="ZN18" s="16"/>
      <c r="ZO18" s="16"/>
      <c r="ZP18" s="16"/>
      <c r="ZQ18" s="16"/>
      <c r="ZR18" s="16"/>
      <c r="ZS18" s="16"/>
      <c r="ZT18" s="16"/>
      <c r="ZU18" s="16"/>
      <c r="ZV18" s="16"/>
      <c r="ZW18" s="16"/>
      <c r="ZX18" s="16"/>
      <c r="ZY18" s="16"/>
      <c r="ZZ18" s="16"/>
      <c r="AAA18" s="16"/>
      <c r="AAB18" s="16"/>
      <c r="AAC18" s="16"/>
      <c r="AAD18" s="16"/>
      <c r="AAE18" s="16"/>
      <c r="AAF18" s="16"/>
      <c r="AAG18" s="16"/>
      <c r="AAH18" s="16"/>
      <c r="AAI18" s="16"/>
      <c r="AAJ18" s="16"/>
      <c r="AAK18" s="16"/>
      <c r="AAL18" s="16"/>
      <c r="AAM18" s="16"/>
      <c r="AAN18" s="16"/>
      <c r="AAO18" s="16"/>
      <c r="AAP18" s="16"/>
      <c r="AAQ18" s="16"/>
      <c r="AAR18" s="16"/>
      <c r="AAS18" s="16"/>
      <c r="AAT18" s="16"/>
      <c r="AAU18" s="16"/>
      <c r="AAV18" s="16"/>
      <c r="AAW18" s="16"/>
      <c r="AAX18" s="16"/>
      <c r="AAY18" s="16"/>
      <c r="AAZ18" s="16"/>
      <c r="ABA18" s="16"/>
      <c r="ABB18" s="16"/>
      <c r="ABC18" s="16"/>
      <c r="ABD18" s="16"/>
      <c r="ABE18" s="16"/>
      <c r="ABF18" s="16"/>
      <c r="ABG18" s="16"/>
      <c r="ABH18" s="16"/>
      <c r="ABI18" s="16"/>
      <c r="ABJ18" s="16"/>
      <c r="ABK18" s="16"/>
      <c r="ABL18" s="16"/>
      <c r="ABM18" s="16"/>
      <c r="ABN18" s="16"/>
      <c r="ABO18" s="16"/>
      <c r="ABP18" s="16"/>
      <c r="ABQ18" s="16"/>
      <c r="ABR18" s="16"/>
      <c r="ABS18" s="16"/>
      <c r="ABT18" s="16"/>
      <c r="ABU18" s="16"/>
      <c r="ABV18" s="16"/>
      <c r="ABW18" s="16"/>
      <c r="ABX18" s="16"/>
      <c r="ABY18" s="16"/>
      <c r="ABZ18" s="16"/>
      <c r="ACA18" s="16"/>
      <c r="ACB18" s="16"/>
      <c r="ACC18" s="16"/>
      <c r="ACD18" s="16"/>
      <c r="ACE18" s="16"/>
      <c r="ACF18" s="16"/>
      <c r="ACG18" s="16"/>
      <c r="ACH18" s="16"/>
      <c r="ACI18" s="16"/>
      <c r="ACJ18" s="16"/>
      <c r="ACK18" s="16"/>
      <c r="ACL18" s="16"/>
      <c r="ACM18" s="16"/>
      <c r="ACN18" s="16"/>
      <c r="ACO18" s="16"/>
      <c r="ACP18" s="16"/>
      <c r="ACQ18" s="16"/>
      <c r="ACR18" s="16"/>
      <c r="ACS18" s="16"/>
      <c r="ACT18" s="16"/>
      <c r="ACU18" s="16"/>
      <c r="ACV18" s="16"/>
      <c r="ACW18" s="16"/>
      <c r="ACX18" s="16"/>
      <c r="ACY18" s="16"/>
      <c r="ACZ18" s="16"/>
      <c r="ADA18" s="16"/>
      <c r="ADB18" s="16"/>
      <c r="ADC18" s="16"/>
      <c r="ADD18" s="16"/>
      <c r="ADE18" s="16"/>
      <c r="ADF18" s="16"/>
      <c r="ADG18" s="16"/>
      <c r="ADH18" s="16"/>
      <c r="ADI18" s="16"/>
      <c r="ADJ18" s="16"/>
      <c r="ADK18" s="16"/>
      <c r="ADL18" s="16"/>
      <c r="ADM18" s="16"/>
      <c r="ADN18" s="16"/>
      <c r="ADO18" s="16"/>
      <c r="ADP18" s="16"/>
      <c r="ADQ18" s="16"/>
      <c r="ADR18" s="16"/>
      <c r="ADS18" s="16"/>
      <c r="ADT18" s="16"/>
      <c r="ADU18" s="16"/>
      <c r="ADV18" s="16"/>
      <c r="ADW18" s="16"/>
      <c r="ADX18" s="16"/>
      <c r="ADY18" s="16"/>
      <c r="ADZ18" s="16"/>
      <c r="AEA18" s="16"/>
      <c r="AEB18" s="16"/>
      <c r="AEC18" s="16"/>
      <c r="AED18" s="16"/>
      <c r="AEE18" s="16"/>
      <c r="AEF18" s="16"/>
      <c r="AEG18" s="16"/>
      <c r="AEH18" s="16"/>
      <c r="AEI18" s="16"/>
      <c r="AEJ18" s="16"/>
      <c r="AEK18" s="16"/>
      <c r="AEL18" s="16"/>
      <c r="AEM18" s="16"/>
      <c r="AEN18" s="16"/>
      <c r="AEO18" s="16"/>
      <c r="AEP18" s="16"/>
      <c r="AEQ18" s="16"/>
      <c r="AER18" s="16"/>
      <c r="AES18" s="16"/>
      <c r="AET18" s="16"/>
      <c r="AEU18" s="16"/>
      <c r="AEV18" s="16"/>
      <c r="AEW18" s="16"/>
      <c r="AEX18" s="16"/>
      <c r="AEY18" s="16"/>
      <c r="AEZ18" s="16"/>
      <c r="AFA18" s="16"/>
      <c r="AFB18" s="16"/>
      <c r="AFC18" s="16"/>
      <c r="AFD18" s="16"/>
      <c r="AFE18" s="16"/>
      <c r="AFF18" s="16"/>
      <c r="AFG18" s="16"/>
      <c r="AFH18" s="16"/>
      <c r="AFI18" s="16"/>
      <c r="AFJ18" s="16"/>
      <c r="AFK18" s="16"/>
      <c r="AFL18" s="16"/>
      <c r="AFM18" s="16"/>
      <c r="AFN18" s="16"/>
      <c r="AFO18" s="16"/>
      <c r="AFP18" s="16"/>
      <c r="AFQ18" s="16"/>
      <c r="AFR18" s="16"/>
      <c r="AFS18" s="16"/>
      <c r="AFT18" s="16"/>
      <c r="AFU18" s="16"/>
      <c r="AFV18" s="16"/>
      <c r="AFW18" s="16"/>
      <c r="AFX18" s="16"/>
      <c r="AFY18" s="16"/>
      <c r="AFZ18" s="16"/>
      <c r="AGA18" s="16"/>
      <c r="AGB18" s="16"/>
      <c r="AGC18" s="16"/>
      <c r="AGD18" s="16"/>
      <c r="AGE18" s="16"/>
      <c r="AGF18" s="16"/>
      <c r="AGG18" s="16"/>
      <c r="AGH18" s="16"/>
      <c r="AGI18" s="16"/>
      <c r="AGJ18" s="16"/>
      <c r="AGK18" s="16"/>
      <c r="AGL18" s="16"/>
      <c r="AGM18" s="16"/>
      <c r="AGN18" s="16"/>
      <c r="AGO18" s="16"/>
      <c r="AGP18" s="16"/>
      <c r="AGQ18" s="16"/>
      <c r="AGR18" s="16"/>
      <c r="AGS18" s="16"/>
      <c r="AGT18" s="16"/>
      <c r="AGU18" s="16"/>
      <c r="AGV18" s="16"/>
      <c r="AGW18" s="16"/>
      <c r="AGX18" s="16"/>
      <c r="AGY18" s="16"/>
      <c r="AGZ18" s="16"/>
      <c r="AHA18" s="16"/>
      <c r="AHB18" s="16"/>
      <c r="AHC18" s="16"/>
      <c r="AHD18" s="16"/>
      <c r="AHE18" s="16"/>
      <c r="AHF18" s="16"/>
      <c r="AHG18" s="16"/>
      <c r="AHH18" s="16"/>
      <c r="AHI18" s="16"/>
      <c r="AHJ18" s="16"/>
      <c r="AHK18" s="16"/>
      <c r="AHL18" s="16"/>
      <c r="AHM18" s="16"/>
      <c r="AHN18" s="16"/>
      <c r="AHO18" s="16"/>
      <c r="AHP18" s="16"/>
      <c r="AHQ18" s="16"/>
      <c r="AHR18" s="16"/>
      <c r="AHS18" s="16"/>
      <c r="AHT18" s="16"/>
      <c r="AHU18" s="16"/>
      <c r="AHV18" s="16"/>
      <c r="AHW18" s="16"/>
      <c r="AHX18" s="16"/>
      <c r="AHY18" s="16"/>
      <c r="AHZ18" s="16"/>
      <c r="AIA18" s="16"/>
      <c r="AIB18" s="16"/>
      <c r="AIC18" s="16"/>
      <c r="AID18" s="16"/>
      <c r="AIE18" s="16"/>
      <c r="AIF18" s="16"/>
      <c r="AIG18" s="16"/>
      <c r="AIH18" s="16"/>
      <c r="AII18" s="16"/>
      <c r="AIJ18" s="16"/>
      <c r="AIK18" s="16"/>
      <c r="AIL18" s="16"/>
      <c r="AIM18" s="16"/>
      <c r="AIN18" s="16"/>
      <c r="AIO18" s="16"/>
      <c r="AIP18" s="16"/>
      <c r="AIQ18" s="16"/>
      <c r="AIR18" s="16"/>
      <c r="AIS18" s="16"/>
      <c r="AIT18" s="16"/>
      <c r="AIU18" s="16"/>
      <c r="AIV18" s="16"/>
      <c r="AIW18" s="16"/>
      <c r="AIX18" s="16"/>
      <c r="AIY18" s="16"/>
      <c r="AIZ18" s="16"/>
      <c r="AJA18" s="16"/>
      <c r="AJB18" s="16"/>
      <c r="AJC18" s="16"/>
      <c r="AJD18" s="16"/>
      <c r="AJE18" s="16"/>
      <c r="AJF18" s="16"/>
      <c r="AJG18" s="16"/>
      <c r="AJH18" s="16"/>
      <c r="AJI18" s="16"/>
      <c r="AJJ18" s="16"/>
      <c r="AJK18" s="16"/>
      <c r="AJL18" s="16"/>
      <c r="AJM18" s="16"/>
      <c r="AJN18" s="16"/>
      <c r="AJO18" s="16"/>
      <c r="AJP18" s="16"/>
      <c r="AJQ18" s="16"/>
      <c r="AJR18" s="16"/>
      <c r="AJS18" s="16"/>
      <c r="AJT18" s="16"/>
      <c r="AJU18" s="16"/>
      <c r="AJV18" s="16"/>
      <c r="AJW18" s="16"/>
      <c r="AJX18" s="16"/>
      <c r="AJY18" s="16"/>
      <c r="AJZ18" s="16"/>
      <c r="AKA18" s="16"/>
      <c r="AKB18" s="16"/>
      <c r="AKC18" s="16"/>
      <c r="AKD18" s="16"/>
      <c r="AKE18" s="16"/>
      <c r="AKF18" s="16"/>
      <c r="AKG18" s="16"/>
      <c r="AKH18" s="16"/>
      <c r="AKI18" s="16"/>
      <c r="AKJ18" s="16"/>
      <c r="AKK18" s="16"/>
      <c r="AKL18" s="16"/>
      <c r="AKM18" s="16"/>
      <c r="AKN18" s="16"/>
      <c r="AKO18" s="16"/>
      <c r="AKP18" s="16"/>
      <c r="AKQ18" s="16"/>
      <c r="AKR18" s="16"/>
      <c r="AKS18" s="16"/>
      <c r="AKT18" s="16"/>
      <c r="AKU18" s="16"/>
      <c r="AKV18" s="16"/>
      <c r="AKW18" s="16"/>
      <c r="AKX18" s="16"/>
      <c r="AKY18" s="16"/>
      <c r="AKZ18" s="16"/>
      <c r="ALA18" s="16"/>
      <c r="ALB18" s="16"/>
      <c r="ALC18" s="16"/>
      <c r="ALD18" s="16"/>
      <c r="ALE18" s="16"/>
      <c r="ALF18" s="16"/>
      <c r="ALG18" s="16"/>
      <c r="ALH18" s="16"/>
      <c r="ALI18" s="16"/>
      <c r="ALJ18" s="16"/>
      <c r="ALK18" s="16"/>
      <c r="ALL18" s="16"/>
      <c r="ALM18" s="16"/>
      <c r="ALN18" s="16"/>
      <c r="ALO18" s="16"/>
      <c r="ALP18" s="16"/>
      <c r="ALQ18" s="16"/>
      <c r="ALR18" s="16"/>
      <c r="ALS18" s="16"/>
      <c r="ALT18" s="16"/>
      <c r="ALU18" s="16"/>
      <c r="ALV18" s="16"/>
      <c r="ALW18" s="16"/>
      <c r="ALX18" s="16"/>
      <c r="ALY18" s="16"/>
      <c r="ALZ18" s="16"/>
      <c r="AMA18" s="16"/>
      <c r="AMB18" s="16"/>
      <c r="AMC18" s="16"/>
      <c r="AMD18" s="16"/>
    </row>
    <row r="19" customFormat="false" ht="15" hidden="false" customHeight="true" outlineLevel="0" collapsed="false">
      <c r="A19" s="16"/>
      <c r="B19" s="64" t="s">
        <v>134</v>
      </c>
      <c r="C19" s="272" t="n">
        <f aca="false">VLOOKUP(B19,Unidades!$D$5:$G$24,4,)</f>
        <v>0.02</v>
      </c>
      <c r="D19" s="273" t="n">
        <f aca="false">'Base Joinville'!AD10*12+'Base Joinville'!AE10*4+'Base Joinville'!AF10*2+'Base Joinville'!AG10</f>
        <v>14765.6221166559</v>
      </c>
      <c r="E19" s="273" t="n">
        <f aca="false">'Base Joinville'!AK10*12+'Base Joinville'!AL10*4+'Base Joinville'!AM10*2+'Base Joinville'!AN10</f>
        <v>18048.0199131885</v>
      </c>
      <c r="IO19" s="16"/>
      <c r="IP19" s="16"/>
      <c r="IQ19" s="16"/>
      <c r="IR19" s="16"/>
      <c r="IS19" s="16"/>
      <c r="IT19" s="16"/>
      <c r="IU19" s="16"/>
      <c r="IV19" s="16"/>
      <c r="IW19" s="16"/>
      <c r="IX19" s="16"/>
      <c r="IY19" s="16"/>
      <c r="IZ19" s="16"/>
      <c r="JA19" s="16"/>
      <c r="JB19" s="16"/>
      <c r="JC19" s="16"/>
      <c r="JD19" s="16"/>
      <c r="JE19" s="16"/>
      <c r="JF19" s="16"/>
      <c r="JG19" s="16"/>
      <c r="JH19" s="16"/>
      <c r="JI19" s="16"/>
      <c r="JJ19" s="16"/>
      <c r="JK19" s="16"/>
      <c r="JL19" s="16"/>
      <c r="JM19" s="16"/>
      <c r="JN19" s="16"/>
      <c r="JO19" s="16"/>
      <c r="JP19" s="16"/>
      <c r="JQ19" s="16"/>
      <c r="JR19" s="16"/>
      <c r="JS19" s="16"/>
      <c r="JT19" s="16"/>
      <c r="JU19" s="16"/>
      <c r="JV19" s="16"/>
      <c r="JW19" s="16"/>
      <c r="JX19" s="16"/>
      <c r="JY19" s="16"/>
      <c r="JZ19" s="16"/>
      <c r="KA19" s="16"/>
      <c r="KB19" s="16"/>
      <c r="KC19" s="16"/>
      <c r="KD19" s="16"/>
      <c r="KE19" s="16"/>
      <c r="KF19" s="16"/>
      <c r="KG19" s="16"/>
      <c r="KH19" s="16"/>
      <c r="KI19" s="16"/>
      <c r="KJ19" s="16"/>
      <c r="KK19" s="16"/>
      <c r="KL19" s="16"/>
      <c r="KM19" s="16"/>
      <c r="KN19" s="16"/>
      <c r="KO19" s="16"/>
      <c r="KP19" s="16"/>
      <c r="KQ19" s="16"/>
      <c r="KR19" s="16"/>
      <c r="KS19" s="16"/>
      <c r="KT19" s="16"/>
      <c r="KU19" s="16"/>
      <c r="KV19" s="16"/>
      <c r="KW19" s="16"/>
      <c r="KX19" s="16"/>
      <c r="KY19" s="16"/>
      <c r="KZ19" s="16"/>
      <c r="LA19" s="16"/>
      <c r="LB19" s="16"/>
      <c r="LC19" s="16"/>
      <c r="LD19" s="16"/>
      <c r="LE19" s="16"/>
      <c r="LF19" s="16"/>
      <c r="LG19" s="16"/>
      <c r="LH19" s="16"/>
      <c r="LI19" s="16"/>
      <c r="LJ19" s="16"/>
      <c r="LK19" s="16"/>
      <c r="LL19" s="16"/>
      <c r="LM19" s="16"/>
      <c r="LN19" s="16"/>
      <c r="LO19" s="16"/>
      <c r="LP19" s="16"/>
      <c r="LQ19" s="16"/>
      <c r="LR19" s="16"/>
      <c r="LS19" s="16"/>
      <c r="LT19" s="16"/>
      <c r="LU19" s="16"/>
      <c r="LV19" s="16"/>
      <c r="LW19" s="16"/>
      <c r="LX19" s="16"/>
      <c r="LY19" s="16"/>
      <c r="LZ19" s="16"/>
      <c r="MA19" s="16"/>
      <c r="MB19" s="16"/>
      <c r="MC19" s="16"/>
      <c r="MD19" s="16"/>
      <c r="ME19" s="16"/>
      <c r="MF19" s="16"/>
      <c r="MG19" s="16"/>
      <c r="MH19" s="16"/>
      <c r="MI19" s="16"/>
      <c r="MJ19" s="16"/>
      <c r="MK19" s="16"/>
      <c r="ML19" s="16"/>
      <c r="MM19" s="16"/>
      <c r="MN19" s="16"/>
      <c r="MO19" s="16"/>
      <c r="MP19" s="16"/>
      <c r="MQ19" s="16"/>
      <c r="MR19" s="16"/>
      <c r="MS19" s="16"/>
      <c r="MT19" s="16"/>
      <c r="MU19" s="16"/>
      <c r="MV19" s="16"/>
      <c r="MW19" s="16"/>
      <c r="MX19" s="16"/>
      <c r="MY19" s="16"/>
      <c r="MZ19" s="16"/>
      <c r="NA19" s="16"/>
      <c r="NB19" s="16"/>
      <c r="NC19" s="16"/>
      <c r="ND19" s="16"/>
      <c r="NE19" s="16"/>
      <c r="NF19" s="16"/>
      <c r="NG19" s="16"/>
      <c r="NH19" s="16"/>
      <c r="NI19" s="16"/>
      <c r="NJ19" s="16"/>
      <c r="NK19" s="16"/>
      <c r="NL19" s="16"/>
      <c r="NM19" s="16"/>
      <c r="NN19" s="16"/>
      <c r="NO19" s="16"/>
      <c r="NP19" s="16"/>
      <c r="NQ19" s="16"/>
      <c r="NR19" s="16"/>
      <c r="NS19" s="16"/>
      <c r="NT19" s="16"/>
      <c r="NU19" s="16"/>
      <c r="NV19" s="16"/>
      <c r="NW19" s="16"/>
      <c r="NX19" s="16"/>
      <c r="NY19" s="16"/>
      <c r="NZ19" s="16"/>
      <c r="OA19" s="16"/>
      <c r="OB19" s="16"/>
      <c r="OC19" s="16"/>
      <c r="OD19" s="16"/>
      <c r="OE19" s="16"/>
      <c r="OF19" s="16"/>
      <c r="OG19" s="16"/>
      <c r="OH19" s="16"/>
      <c r="OI19" s="16"/>
      <c r="OJ19" s="16"/>
      <c r="OK19" s="16"/>
      <c r="OL19" s="16"/>
      <c r="OM19" s="16"/>
      <c r="ON19" s="16"/>
      <c r="OO19" s="16"/>
      <c r="OP19" s="16"/>
      <c r="OQ19" s="16"/>
      <c r="OR19" s="16"/>
      <c r="OS19" s="16"/>
      <c r="OT19" s="16"/>
      <c r="OU19" s="16"/>
      <c r="OV19" s="16"/>
      <c r="OW19" s="16"/>
      <c r="OX19" s="16"/>
      <c r="OY19" s="16"/>
      <c r="OZ19" s="16"/>
      <c r="PA19" s="16"/>
      <c r="PB19" s="16"/>
      <c r="PC19" s="16"/>
      <c r="PD19" s="16"/>
      <c r="PE19" s="16"/>
      <c r="PF19" s="16"/>
      <c r="PG19" s="16"/>
      <c r="PH19" s="16"/>
      <c r="PI19" s="16"/>
      <c r="PJ19" s="16"/>
      <c r="PK19" s="16"/>
      <c r="PL19" s="16"/>
      <c r="PM19" s="16"/>
      <c r="PN19" s="16"/>
      <c r="PO19" s="16"/>
      <c r="PP19" s="16"/>
      <c r="PQ19" s="16"/>
      <c r="PR19" s="16"/>
      <c r="PS19" s="16"/>
      <c r="PT19" s="16"/>
      <c r="PU19" s="16"/>
      <c r="PV19" s="16"/>
      <c r="PW19" s="16"/>
      <c r="PX19" s="16"/>
      <c r="PY19" s="16"/>
      <c r="PZ19" s="16"/>
      <c r="QA19" s="16"/>
      <c r="QB19" s="16"/>
      <c r="QC19" s="16"/>
      <c r="QD19" s="16"/>
      <c r="QE19" s="16"/>
      <c r="QF19" s="16"/>
      <c r="QG19" s="16"/>
      <c r="QH19" s="16"/>
      <c r="QI19" s="16"/>
      <c r="QJ19" s="16"/>
      <c r="QK19" s="16"/>
      <c r="QL19" s="16"/>
      <c r="QM19" s="16"/>
      <c r="QN19" s="16"/>
      <c r="QO19" s="16"/>
      <c r="QP19" s="16"/>
      <c r="QQ19" s="16"/>
      <c r="QR19" s="16"/>
      <c r="QS19" s="16"/>
      <c r="QT19" s="16"/>
      <c r="QU19" s="16"/>
      <c r="QV19" s="16"/>
      <c r="QW19" s="16"/>
      <c r="QX19" s="16"/>
      <c r="QY19" s="16"/>
      <c r="QZ19" s="16"/>
      <c r="RA19" s="16"/>
      <c r="RB19" s="16"/>
      <c r="RC19" s="16"/>
      <c r="RD19" s="16"/>
      <c r="RE19" s="16"/>
      <c r="RF19" s="16"/>
      <c r="RG19" s="16"/>
      <c r="RH19" s="16"/>
      <c r="RI19" s="16"/>
      <c r="RJ19" s="16"/>
      <c r="RK19" s="16"/>
      <c r="RL19" s="16"/>
      <c r="RM19" s="16"/>
      <c r="RN19" s="16"/>
      <c r="RO19" s="16"/>
      <c r="RP19" s="16"/>
      <c r="RQ19" s="16"/>
      <c r="RR19" s="16"/>
      <c r="RS19" s="16"/>
      <c r="RT19" s="16"/>
      <c r="RU19" s="16"/>
      <c r="RV19" s="16"/>
      <c r="RW19" s="16"/>
      <c r="RX19" s="16"/>
      <c r="RY19" s="16"/>
      <c r="RZ19" s="16"/>
      <c r="SA19" s="16"/>
      <c r="SB19" s="16"/>
      <c r="SC19" s="16"/>
      <c r="SD19" s="16"/>
      <c r="SE19" s="16"/>
      <c r="SF19" s="16"/>
      <c r="SG19" s="16"/>
      <c r="SH19" s="16"/>
      <c r="SI19" s="16"/>
      <c r="SJ19" s="16"/>
      <c r="SK19" s="16"/>
      <c r="SL19" s="16"/>
      <c r="SM19" s="16"/>
      <c r="SN19" s="16"/>
      <c r="SO19" s="16"/>
      <c r="SP19" s="16"/>
      <c r="SQ19" s="16"/>
      <c r="SR19" s="16"/>
      <c r="SS19" s="16"/>
      <c r="ST19" s="16"/>
      <c r="SU19" s="16"/>
      <c r="SV19" s="16"/>
      <c r="SW19" s="16"/>
      <c r="SX19" s="16"/>
      <c r="SY19" s="16"/>
      <c r="SZ19" s="16"/>
      <c r="TA19" s="16"/>
      <c r="TB19" s="16"/>
      <c r="TC19" s="16"/>
      <c r="TD19" s="16"/>
      <c r="TE19" s="16"/>
      <c r="TF19" s="16"/>
      <c r="TG19" s="16"/>
      <c r="TH19" s="16"/>
      <c r="TI19" s="16"/>
      <c r="TJ19" s="16"/>
      <c r="TK19" s="16"/>
      <c r="TL19" s="16"/>
      <c r="TM19" s="16"/>
      <c r="TN19" s="16"/>
      <c r="TO19" s="16"/>
      <c r="TP19" s="16"/>
      <c r="TQ19" s="16"/>
      <c r="TR19" s="16"/>
      <c r="TS19" s="16"/>
      <c r="TT19" s="16"/>
      <c r="TU19" s="16"/>
      <c r="TV19" s="16"/>
      <c r="TW19" s="16"/>
      <c r="TX19" s="16"/>
      <c r="TY19" s="16"/>
      <c r="TZ19" s="16"/>
      <c r="UA19" s="16"/>
      <c r="UB19" s="16"/>
      <c r="UC19" s="16"/>
      <c r="UD19" s="16"/>
      <c r="UE19" s="16"/>
      <c r="UF19" s="16"/>
      <c r="UG19" s="16"/>
      <c r="UH19" s="16"/>
      <c r="UI19" s="16"/>
      <c r="UJ19" s="16"/>
      <c r="UK19" s="16"/>
      <c r="UL19" s="16"/>
      <c r="UM19" s="16"/>
      <c r="UN19" s="16"/>
      <c r="UO19" s="16"/>
      <c r="UP19" s="16"/>
      <c r="UQ19" s="16"/>
      <c r="UR19" s="16"/>
      <c r="US19" s="16"/>
      <c r="UT19" s="16"/>
      <c r="UU19" s="16"/>
      <c r="UV19" s="16"/>
      <c r="UW19" s="16"/>
      <c r="UX19" s="16"/>
      <c r="UY19" s="16"/>
      <c r="UZ19" s="16"/>
      <c r="VA19" s="16"/>
      <c r="VB19" s="16"/>
      <c r="VC19" s="16"/>
      <c r="VD19" s="16"/>
      <c r="VE19" s="16"/>
      <c r="VF19" s="16"/>
      <c r="VG19" s="16"/>
      <c r="VH19" s="16"/>
      <c r="VI19" s="16"/>
      <c r="VJ19" s="16"/>
      <c r="VK19" s="16"/>
      <c r="VL19" s="16"/>
      <c r="VM19" s="16"/>
      <c r="VN19" s="16"/>
      <c r="VO19" s="16"/>
      <c r="VP19" s="16"/>
      <c r="VQ19" s="16"/>
      <c r="VR19" s="16"/>
      <c r="VS19" s="16"/>
      <c r="VT19" s="16"/>
      <c r="VU19" s="16"/>
      <c r="VV19" s="16"/>
      <c r="VW19" s="16"/>
      <c r="VX19" s="16"/>
      <c r="VY19" s="16"/>
      <c r="VZ19" s="16"/>
      <c r="WA19" s="16"/>
      <c r="WB19" s="16"/>
      <c r="WC19" s="16"/>
      <c r="WD19" s="16"/>
      <c r="WE19" s="16"/>
      <c r="WF19" s="16"/>
      <c r="WG19" s="16"/>
      <c r="WH19" s="16"/>
      <c r="WI19" s="16"/>
      <c r="WJ19" s="16"/>
      <c r="WK19" s="16"/>
      <c r="WL19" s="16"/>
      <c r="WM19" s="16"/>
      <c r="WN19" s="16"/>
      <c r="WO19" s="16"/>
      <c r="WP19" s="16"/>
      <c r="WQ19" s="16"/>
      <c r="WR19" s="16"/>
      <c r="WS19" s="16"/>
      <c r="WT19" s="16"/>
      <c r="WU19" s="16"/>
      <c r="WV19" s="16"/>
      <c r="WW19" s="16"/>
      <c r="WX19" s="16"/>
      <c r="WY19" s="16"/>
      <c r="WZ19" s="16"/>
      <c r="XA19" s="16"/>
      <c r="XB19" s="16"/>
      <c r="XC19" s="16"/>
      <c r="XD19" s="16"/>
      <c r="XE19" s="16"/>
      <c r="XF19" s="16"/>
      <c r="XG19" s="16"/>
      <c r="XH19" s="16"/>
      <c r="XI19" s="16"/>
      <c r="XJ19" s="16"/>
      <c r="XK19" s="16"/>
      <c r="XL19" s="16"/>
      <c r="XM19" s="16"/>
      <c r="XN19" s="16"/>
      <c r="XO19" s="16"/>
      <c r="XP19" s="16"/>
      <c r="XQ19" s="16"/>
      <c r="XR19" s="16"/>
      <c r="XS19" s="16"/>
      <c r="XT19" s="16"/>
      <c r="XU19" s="16"/>
      <c r="XV19" s="16"/>
      <c r="XW19" s="16"/>
      <c r="XX19" s="16"/>
      <c r="XY19" s="16"/>
      <c r="XZ19" s="16"/>
      <c r="YA19" s="16"/>
      <c r="YB19" s="16"/>
      <c r="YC19" s="16"/>
      <c r="YD19" s="16"/>
      <c r="YE19" s="16"/>
      <c r="YF19" s="16"/>
      <c r="YG19" s="16"/>
      <c r="YH19" s="16"/>
      <c r="YI19" s="16"/>
      <c r="YJ19" s="16"/>
      <c r="YK19" s="16"/>
      <c r="YL19" s="16"/>
      <c r="YM19" s="16"/>
      <c r="YN19" s="16"/>
      <c r="YO19" s="16"/>
      <c r="YP19" s="16"/>
      <c r="YQ19" s="16"/>
      <c r="YR19" s="16"/>
      <c r="YS19" s="16"/>
      <c r="YT19" s="16"/>
      <c r="YU19" s="16"/>
      <c r="YV19" s="16"/>
      <c r="YW19" s="16"/>
      <c r="YX19" s="16"/>
      <c r="YY19" s="16"/>
      <c r="YZ19" s="16"/>
      <c r="ZA19" s="16"/>
      <c r="ZB19" s="16"/>
      <c r="ZC19" s="16"/>
      <c r="ZD19" s="16"/>
      <c r="ZE19" s="16"/>
      <c r="ZF19" s="16"/>
      <c r="ZG19" s="16"/>
      <c r="ZH19" s="16"/>
      <c r="ZI19" s="16"/>
      <c r="ZJ19" s="16"/>
      <c r="ZK19" s="16"/>
      <c r="ZL19" s="16"/>
      <c r="ZM19" s="16"/>
      <c r="ZN19" s="16"/>
      <c r="ZO19" s="16"/>
      <c r="ZP19" s="16"/>
      <c r="ZQ19" s="16"/>
      <c r="ZR19" s="16"/>
      <c r="ZS19" s="16"/>
      <c r="ZT19" s="16"/>
      <c r="ZU19" s="16"/>
      <c r="ZV19" s="16"/>
      <c r="ZW19" s="16"/>
      <c r="ZX19" s="16"/>
      <c r="ZY19" s="16"/>
      <c r="ZZ19" s="16"/>
      <c r="AAA19" s="16"/>
      <c r="AAB19" s="16"/>
      <c r="AAC19" s="16"/>
      <c r="AAD19" s="16"/>
      <c r="AAE19" s="16"/>
      <c r="AAF19" s="16"/>
      <c r="AAG19" s="16"/>
      <c r="AAH19" s="16"/>
      <c r="AAI19" s="16"/>
      <c r="AAJ19" s="16"/>
      <c r="AAK19" s="16"/>
      <c r="AAL19" s="16"/>
      <c r="AAM19" s="16"/>
      <c r="AAN19" s="16"/>
      <c r="AAO19" s="16"/>
      <c r="AAP19" s="16"/>
      <c r="AAQ19" s="16"/>
      <c r="AAR19" s="16"/>
      <c r="AAS19" s="16"/>
      <c r="AAT19" s="16"/>
      <c r="AAU19" s="16"/>
      <c r="AAV19" s="16"/>
      <c r="AAW19" s="16"/>
      <c r="AAX19" s="16"/>
      <c r="AAY19" s="16"/>
      <c r="AAZ19" s="16"/>
      <c r="ABA19" s="16"/>
      <c r="ABB19" s="16"/>
      <c r="ABC19" s="16"/>
      <c r="ABD19" s="16"/>
      <c r="ABE19" s="16"/>
      <c r="ABF19" s="16"/>
      <c r="ABG19" s="16"/>
      <c r="ABH19" s="16"/>
      <c r="ABI19" s="16"/>
      <c r="ABJ19" s="16"/>
      <c r="ABK19" s="16"/>
      <c r="ABL19" s="16"/>
      <c r="ABM19" s="16"/>
      <c r="ABN19" s="16"/>
      <c r="ABO19" s="16"/>
      <c r="ABP19" s="16"/>
      <c r="ABQ19" s="16"/>
      <c r="ABR19" s="16"/>
      <c r="ABS19" s="16"/>
      <c r="ABT19" s="16"/>
      <c r="ABU19" s="16"/>
      <c r="ABV19" s="16"/>
      <c r="ABW19" s="16"/>
      <c r="ABX19" s="16"/>
      <c r="ABY19" s="16"/>
      <c r="ABZ19" s="16"/>
      <c r="ACA19" s="16"/>
      <c r="ACB19" s="16"/>
      <c r="ACC19" s="16"/>
      <c r="ACD19" s="16"/>
      <c r="ACE19" s="16"/>
      <c r="ACF19" s="16"/>
      <c r="ACG19" s="16"/>
      <c r="ACH19" s="16"/>
      <c r="ACI19" s="16"/>
      <c r="ACJ19" s="16"/>
      <c r="ACK19" s="16"/>
      <c r="ACL19" s="16"/>
      <c r="ACM19" s="16"/>
      <c r="ACN19" s="16"/>
      <c r="ACO19" s="16"/>
      <c r="ACP19" s="16"/>
      <c r="ACQ19" s="16"/>
      <c r="ACR19" s="16"/>
      <c r="ACS19" s="16"/>
      <c r="ACT19" s="16"/>
      <c r="ACU19" s="16"/>
      <c r="ACV19" s="16"/>
      <c r="ACW19" s="16"/>
      <c r="ACX19" s="16"/>
      <c r="ACY19" s="16"/>
      <c r="ACZ19" s="16"/>
      <c r="ADA19" s="16"/>
      <c r="ADB19" s="16"/>
      <c r="ADC19" s="16"/>
      <c r="ADD19" s="16"/>
      <c r="ADE19" s="16"/>
      <c r="ADF19" s="16"/>
      <c r="ADG19" s="16"/>
      <c r="ADH19" s="16"/>
      <c r="ADI19" s="16"/>
      <c r="ADJ19" s="16"/>
      <c r="ADK19" s="16"/>
      <c r="ADL19" s="16"/>
      <c r="ADM19" s="16"/>
      <c r="ADN19" s="16"/>
      <c r="ADO19" s="16"/>
      <c r="ADP19" s="16"/>
      <c r="ADQ19" s="16"/>
      <c r="ADR19" s="16"/>
      <c r="ADS19" s="16"/>
      <c r="ADT19" s="16"/>
      <c r="ADU19" s="16"/>
      <c r="ADV19" s="16"/>
      <c r="ADW19" s="16"/>
      <c r="ADX19" s="16"/>
      <c r="ADY19" s="16"/>
      <c r="ADZ19" s="16"/>
      <c r="AEA19" s="16"/>
      <c r="AEB19" s="16"/>
      <c r="AEC19" s="16"/>
      <c r="AED19" s="16"/>
      <c r="AEE19" s="16"/>
      <c r="AEF19" s="16"/>
      <c r="AEG19" s="16"/>
      <c r="AEH19" s="16"/>
      <c r="AEI19" s="16"/>
      <c r="AEJ19" s="16"/>
      <c r="AEK19" s="16"/>
      <c r="AEL19" s="16"/>
      <c r="AEM19" s="16"/>
      <c r="AEN19" s="16"/>
      <c r="AEO19" s="16"/>
      <c r="AEP19" s="16"/>
      <c r="AEQ19" s="16"/>
      <c r="AER19" s="16"/>
      <c r="AES19" s="16"/>
      <c r="AET19" s="16"/>
      <c r="AEU19" s="16"/>
      <c r="AEV19" s="16"/>
      <c r="AEW19" s="16"/>
      <c r="AEX19" s="16"/>
      <c r="AEY19" s="16"/>
      <c r="AEZ19" s="16"/>
      <c r="AFA19" s="16"/>
      <c r="AFB19" s="16"/>
      <c r="AFC19" s="16"/>
      <c r="AFD19" s="16"/>
      <c r="AFE19" s="16"/>
      <c r="AFF19" s="16"/>
      <c r="AFG19" s="16"/>
      <c r="AFH19" s="16"/>
      <c r="AFI19" s="16"/>
      <c r="AFJ19" s="16"/>
      <c r="AFK19" s="16"/>
      <c r="AFL19" s="16"/>
      <c r="AFM19" s="16"/>
      <c r="AFN19" s="16"/>
      <c r="AFO19" s="16"/>
      <c r="AFP19" s="16"/>
      <c r="AFQ19" s="16"/>
      <c r="AFR19" s="16"/>
      <c r="AFS19" s="16"/>
      <c r="AFT19" s="16"/>
      <c r="AFU19" s="16"/>
      <c r="AFV19" s="16"/>
      <c r="AFW19" s="16"/>
      <c r="AFX19" s="16"/>
      <c r="AFY19" s="16"/>
      <c r="AFZ19" s="16"/>
      <c r="AGA19" s="16"/>
      <c r="AGB19" s="16"/>
      <c r="AGC19" s="16"/>
      <c r="AGD19" s="16"/>
      <c r="AGE19" s="16"/>
      <c r="AGF19" s="16"/>
      <c r="AGG19" s="16"/>
      <c r="AGH19" s="16"/>
      <c r="AGI19" s="16"/>
      <c r="AGJ19" s="16"/>
      <c r="AGK19" s="16"/>
      <c r="AGL19" s="16"/>
      <c r="AGM19" s="16"/>
      <c r="AGN19" s="16"/>
      <c r="AGO19" s="16"/>
      <c r="AGP19" s="16"/>
      <c r="AGQ19" s="16"/>
      <c r="AGR19" s="16"/>
      <c r="AGS19" s="16"/>
      <c r="AGT19" s="16"/>
      <c r="AGU19" s="16"/>
      <c r="AGV19" s="16"/>
      <c r="AGW19" s="16"/>
      <c r="AGX19" s="16"/>
      <c r="AGY19" s="16"/>
      <c r="AGZ19" s="16"/>
      <c r="AHA19" s="16"/>
      <c r="AHB19" s="16"/>
      <c r="AHC19" s="16"/>
      <c r="AHD19" s="16"/>
      <c r="AHE19" s="16"/>
      <c r="AHF19" s="16"/>
      <c r="AHG19" s="16"/>
      <c r="AHH19" s="16"/>
      <c r="AHI19" s="16"/>
      <c r="AHJ19" s="16"/>
      <c r="AHK19" s="16"/>
      <c r="AHL19" s="16"/>
      <c r="AHM19" s="16"/>
      <c r="AHN19" s="16"/>
      <c r="AHO19" s="16"/>
      <c r="AHP19" s="16"/>
      <c r="AHQ19" s="16"/>
      <c r="AHR19" s="16"/>
      <c r="AHS19" s="16"/>
      <c r="AHT19" s="16"/>
      <c r="AHU19" s="16"/>
      <c r="AHV19" s="16"/>
      <c r="AHW19" s="16"/>
      <c r="AHX19" s="16"/>
      <c r="AHY19" s="16"/>
      <c r="AHZ19" s="16"/>
      <c r="AIA19" s="16"/>
      <c r="AIB19" s="16"/>
      <c r="AIC19" s="16"/>
      <c r="AID19" s="16"/>
      <c r="AIE19" s="16"/>
      <c r="AIF19" s="16"/>
      <c r="AIG19" s="16"/>
      <c r="AIH19" s="16"/>
      <c r="AII19" s="16"/>
      <c r="AIJ19" s="16"/>
      <c r="AIK19" s="16"/>
      <c r="AIL19" s="16"/>
      <c r="AIM19" s="16"/>
      <c r="AIN19" s="16"/>
      <c r="AIO19" s="16"/>
      <c r="AIP19" s="16"/>
      <c r="AIQ19" s="16"/>
      <c r="AIR19" s="16"/>
      <c r="AIS19" s="16"/>
      <c r="AIT19" s="16"/>
      <c r="AIU19" s="16"/>
      <c r="AIV19" s="16"/>
      <c r="AIW19" s="16"/>
      <c r="AIX19" s="16"/>
      <c r="AIY19" s="16"/>
      <c r="AIZ19" s="16"/>
      <c r="AJA19" s="16"/>
      <c r="AJB19" s="16"/>
      <c r="AJC19" s="16"/>
      <c r="AJD19" s="16"/>
      <c r="AJE19" s="16"/>
      <c r="AJF19" s="16"/>
      <c r="AJG19" s="16"/>
      <c r="AJH19" s="16"/>
      <c r="AJI19" s="16"/>
      <c r="AJJ19" s="16"/>
      <c r="AJK19" s="16"/>
      <c r="AJL19" s="16"/>
      <c r="AJM19" s="16"/>
      <c r="AJN19" s="16"/>
      <c r="AJO19" s="16"/>
      <c r="AJP19" s="16"/>
      <c r="AJQ19" s="16"/>
      <c r="AJR19" s="16"/>
      <c r="AJS19" s="16"/>
      <c r="AJT19" s="16"/>
      <c r="AJU19" s="16"/>
      <c r="AJV19" s="16"/>
      <c r="AJW19" s="16"/>
      <c r="AJX19" s="16"/>
      <c r="AJY19" s="16"/>
      <c r="AJZ19" s="16"/>
      <c r="AKA19" s="16"/>
      <c r="AKB19" s="16"/>
      <c r="AKC19" s="16"/>
      <c r="AKD19" s="16"/>
      <c r="AKE19" s="16"/>
      <c r="AKF19" s="16"/>
      <c r="AKG19" s="16"/>
      <c r="AKH19" s="16"/>
      <c r="AKI19" s="16"/>
      <c r="AKJ19" s="16"/>
      <c r="AKK19" s="16"/>
      <c r="AKL19" s="16"/>
      <c r="AKM19" s="16"/>
      <c r="AKN19" s="16"/>
      <c r="AKO19" s="16"/>
      <c r="AKP19" s="16"/>
      <c r="AKQ19" s="16"/>
      <c r="AKR19" s="16"/>
      <c r="AKS19" s="16"/>
      <c r="AKT19" s="16"/>
      <c r="AKU19" s="16"/>
      <c r="AKV19" s="16"/>
      <c r="AKW19" s="16"/>
      <c r="AKX19" s="16"/>
      <c r="AKY19" s="16"/>
      <c r="AKZ19" s="16"/>
      <c r="ALA19" s="16"/>
      <c r="ALB19" s="16"/>
      <c r="ALC19" s="16"/>
      <c r="ALD19" s="16"/>
      <c r="ALE19" s="16"/>
      <c r="ALF19" s="16"/>
      <c r="ALG19" s="16"/>
      <c r="ALH19" s="16"/>
      <c r="ALI19" s="16"/>
      <c r="ALJ19" s="16"/>
      <c r="ALK19" s="16"/>
      <c r="ALL19" s="16"/>
      <c r="ALM19" s="16"/>
      <c r="ALN19" s="16"/>
      <c r="ALO19" s="16"/>
      <c r="ALP19" s="16"/>
      <c r="ALQ19" s="16"/>
      <c r="ALR19" s="16"/>
      <c r="ALS19" s="16"/>
      <c r="ALT19" s="16"/>
      <c r="ALU19" s="16"/>
      <c r="ALV19" s="16"/>
      <c r="ALW19" s="16"/>
      <c r="ALX19" s="16"/>
      <c r="ALY19" s="16"/>
      <c r="ALZ19" s="16"/>
      <c r="AMA19" s="16"/>
      <c r="AMB19" s="16"/>
      <c r="AMC19" s="16"/>
      <c r="AMD19" s="16"/>
    </row>
    <row r="20" customFormat="false" ht="15" hidden="false" customHeight="true" outlineLevel="0" collapsed="false">
      <c r="A20" s="29"/>
      <c r="B20" s="64" t="s">
        <v>135</v>
      </c>
      <c r="C20" s="272" t="n">
        <f aca="false">VLOOKUP(B20,Unidades!$D$5:$G$24,4,)</f>
        <v>0.015</v>
      </c>
      <c r="D20" s="273" t="n">
        <f aca="false">'Base Joinville'!AD11*12+'Base Joinville'!AE11*4+'Base Joinville'!AF11*2+'Base Joinville'!AG11</f>
        <v>11823.0045874919</v>
      </c>
      <c r="E20" s="273" t="n">
        <f aca="false">'Base Joinville'!AK11*12+'Base Joinville'!AL11*4+'Base Joinville'!AM11*2+'Base Joinville'!AN11</f>
        <v>14374.4089774726</v>
      </c>
      <c r="F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  <c r="IM20" s="29"/>
      <c r="IN20" s="29"/>
      <c r="IO20" s="29"/>
      <c r="IP20" s="29"/>
      <c r="IQ20" s="29"/>
      <c r="IR20" s="29"/>
      <c r="IS20" s="29"/>
      <c r="IT20" s="29"/>
      <c r="IU20" s="29"/>
      <c r="IV20" s="29"/>
      <c r="IW20" s="29"/>
      <c r="IX20" s="29"/>
      <c r="IY20" s="29"/>
      <c r="IZ20" s="29"/>
      <c r="JA20" s="29"/>
      <c r="JB20" s="29"/>
      <c r="JC20" s="29"/>
      <c r="JD20" s="29"/>
      <c r="JE20" s="29"/>
      <c r="JF20" s="29"/>
      <c r="JG20" s="29"/>
      <c r="JH20" s="29"/>
      <c r="JI20" s="29"/>
      <c r="JJ20" s="29"/>
      <c r="JK20" s="29"/>
      <c r="JL20" s="29"/>
      <c r="JM20" s="29"/>
      <c r="JN20" s="29"/>
      <c r="JO20" s="29"/>
      <c r="JP20" s="29"/>
      <c r="JQ20" s="29"/>
      <c r="JR20" s="29"/>
      <c r="JS20" s="29"/>
      <c r="JT20" s="29"/>
      <c r="JU20" s="29"/>
      <c r="JV20" s="29"/>
      <c r="JW20" s="29"/>
      <c r="JX20" s="29"/>
      <c r="JY20" s="29"/>
      <c r="JZ20" s="29"/>
      <c r="KA20" s="29"/>
      <c r="KB20" s="29"/>
      <c r="KC20" s="29"/>
      <c r="KD20" s="29"/>
      <c r="KE20" s="29"/>
      <c r="KF20" s="29"/>
      <c r="KG20" s="29"/>
      <c r="KH20" s="29"/>
      <c r="KI20" s="29"/>
      <c r="KJ20" s="29"/>
      <c r="KK20" s="29"/>
      <c r="KL20" s="29"/>
      <c r="KM20" s="29"/>
      <c r="KN20" s="29"/>
      <c r="KO20" s="29"/>
      <c r="KP20" s="29"/>
      <c r="KQ20" s="29"/>
      <c r="KR20" s="29"/>
      <c r="KS20" s="29"/>
      <c r="KT20" s="29"/>
      <c r="KU20" s="29"/>
      <c r="KV20" s="29"/>
      <c r="KW20" s="29"/>
      <c r="KX20" s="29"/>
      <c r="KY20" s="29"/>
      <c r="KZ20" s="29"/>
      <c r="LA20" s="29"/>
      <c r="LB20" s="29"/>
      <c r="LC20" s="29"/>
      <c r="LD20" s="29"/>
      <c r="LE20" s="29"/>
      <c r="LF20" s="29"/>
      <c r="LG20" s="29"/>
      <c r="LH20" s="29"/>
      <c r="LI20" s="29"/>
      <c r="LJ20" s="29"/>
      <c r="LK20" s="29"/>
      <c r="LL20" s="29"/>
      <c r="LM20" s="29"/>
      <c r="LN20" s="29"/>
      <c r="LO20" s="29"/>
      <c r="LP20" s="29"/>
      <c r="LQ20" s="29"/>
      <c r="LR20" s="29"/>
      <c r="LS20" s="29"/>
      <c r="LT20" s="29"/>
      <c r="LU20" s="29"/>
      <c r="LV20" s="29"/>
      <c r="LW20" s="29"/>
      <c r="LX20" s="29"/>
      <c r="LY20" s="29"/>
      <c r="LZ20" s="29"/>
      <c r="MA20" s="29"/>
      <c r="MB20" s="29"/>
      <c r="MC20" s="29"/>
      <c r="MD20" s="29"/>
      <c r="ME20" s="29"/>
      <c r="MF20" s="29"/>
      <c r="MG20" s="29"/>
      <c r="MH20" s="29"/>
      <c r="MI20" s="29"/>
      <c r="MJ20" s="29"/>
      <c r="MK20" s="29"/>
      <c r="ML20" s="29"/>
      <c r="MM20" s="29"/>
      <c r="MN20" s="29"/>
      <c r="MO20" s="29"/>
      <c r="MP20" s="29"/>
      <c r="MQ20" s="29"/>
      <c r="MR20" s="29"/>
      <c r="MS20" s="29"/>
      <c r="MT20" s="29"/>
      <c r="MU20" s="29"/>
      <c r="MV20" s="29"/>
      <c r="MW20" s="29"/>
      <c r="MX20" s="29"/>
      <c r="MY20" s="29"/>
      <c r="MZ20" s="29"/>
      <c r="NA20" s="29"/>
      <c r="NB20" s="29"/>
      <c r="NC20" s="29"/>
      <c r="ND20" s="29"/>
      <c r="NE20" s="29"/>
      <c r="NF20" s="29"/>
      <c r="NG20" s="29"/>
      <c r="NH20" s="29"/>
      <c r="NI20" s="29"/>
      <c r="NJ20" s="29"/>
      <c r="NK20" s="29"/>
      <c r="NL20" s="29"/>
      <c r="NM20" s="29"/>
      <c r="NN20" s="29"/>
      <c r="NO20" s="29"/>
      <c r="NP20" s="29"/>
      <c r="NQ20" s="29"/>
      <c r="NR20" s="29"/>
      <c r="NS20" s="29"/>
      <c r="NT20" s="29"/>
      <c r="NU20" s="29"/>
      <c r="NV20" s="29"/>
      <c r="NW20" s="29"/>
      <c r="NX20" s="29"/>
      <c r="NY20" s="29"/>
      <c r="NZ20" s="29"/>
      <c r="OA20" s="29"/>
      <c r="OB20" s="29"/>
      <c r="OC20" s="29"/>
      <c r="OD20" s="29"/>
      <c r="OE20" s="29"/>
      <c r="OF20" s="29"/>
      <c r="OG20" s="29"/>
      <c r="OH20" s="29"/>
      <c r="OI20" s="29"/>
      <c r="OJ20" s="29"/>
      <c r="OK20" s="29"/>
      <c r="OL20" s="29"/>
      <c r="OM20" s="29"/>
      <c r="ON20" s="29"/>
      <c r="OO20" s="29"/>
      <c r="OP20" s="29"/>
      <c r="OQ20" s="29"/>
      <c r="OR20" s="29"/>
      <c r="OS20" s="29"/>
      <c r="OT20" s="29"/>
      <c r="OU20" s="29"/>
      <c r="OV20" s="29"/>
      <c r="OW20" s="29"/>
      <c r="OX20" s="29"/>
      <c r="OY20" s="29"/>
      <c r="OZ20" s="29"/>
      <c r="PA20" s="29"/>
      <c r="PB20" s="29"/>
      <c r="PC20" s="29"/>
      <c r="PD20" s="29"/>
      <c r="PE20" s="29"/>
      <c r="PF20" s="29"/>
      <c r="PG20" s="29"/>
      <c r="PH20" s="29"/>
      <c r="PI20" s="29"/>
      <c r="PJ20" s="29"/>
      <c r="PK20" s="29"/>
      <c r="PL20" s="29"/>
      <c r="PM20" s="29"/>
      <c r="PN20" s="29"/>
      <c r="PO20" s="29"/>
      <c r="PP20" s="29"/>
      <c r="PQ20" s="29"/>
      <c r="PR20" s="29"/>
      <c r="PS20" s="29"/>
      <c r="PT20" s="29"/>
      <c r="PU20" s="29"/>
      <c r="PV20" s="29"/>
      <c r="PW20" s="29"/>
      <c r="PX20" s="29"/>
      <c r="PY20" s="29"/>
      <c r="PZ20" s="29"/>
      <c r="QA20" s="29"/>
      <c r="QB20" s="29"/>
      <c r="QC20" s="29"/>
      <c r="QD20" s="29"/>
      <c r="QE20" s="29"/>
      <c r="QF20" s="29"/>
      <c r="QG20" s="29"/>
      <c r="QH20" s="29"/>
      <c r="QI20" s="29"/>
      <c r="QJ20" s="29"/>
      <c r="QK20" s="29"/>
      <c r="QL20" s="29"/>
      <c r="QM20" s="29"/>
      <c r="QN20" s="29"/>
      <c r="QO20" s="29"/>
      <c r="QP20" s="29"/>
      <c r="QQ20" s="29"/>
      <c r="QR20" s="29"/>
      <c r="QS20" s="29"/>
      <c r="QT20" s="29"/>
      <c r="QU20" s="29"/>
      <c r="QV20" s="29"/>
      <c r="QW20" s="29"/>
      <c r="QX20" s="29"/>
      <c r="QY20" s="29"/>
      <c r="QZ20" s="29"/>
      <c r="RA20" s="29"/>
      <c r="RB20" s="29"/>
      <c r="RC20" s="29"/>
      <c r="RD20" s="29"/>
      <c r="RE20" s="29"/>
      <c r="RF20" s="29"/>
      <c r="RG20" s="29"/>
      <c r="RH20" s="29"/>
      <c r="RI20" s="29"/>
      <c r="RJ20" s="29"/>
      <c r="RK20" s="29"/>
      <c r="RL20" s="29"/>
      <c r="RM20" s="29"/>
      <c r="RN20" s="29"/>
      <c r="RO20" s="29"/>
      <c r="RP20" s="29"/>
      <c r="RQ20" s="29"/>
      <c r="RR20" s="29"/>
      <c r="RS20" s="29"/>
      <c r="RT20" s="29"/>
      <c r="RU20" s="29"/>
      <c r="RV20" s="29"/>
      <c r="RW20" s="29"/>
      <c r="RX20" s="29"/>
      <c r="RY20" s="29"/>
      <c r="RZ20" s="29"/>
      <c r="SA20" s="29"/>
      <c r="SB20" s="29"/>
      <c r="SC20" s="29"/>
      <c r="SD20" s="29"/>
      <c r="SE20" s="29"/>
      <c r="SF20" s="29"/>
      <c r="SG20" s="29"/>
      <c r="SH20" s="29"/>
      <c r="SI20" s="29"/>
      <c r="SJ20" s="29"/>
      <c r="SK20" s="29"/>
      <c r="SL20" s="29"/>
      <c r="SM20" s="29"/>
      <c r="SN20" s="29"/>
      <c r="SO20" s="29"/>
      <c r="SP20" s="29"/>
      <c r="SQ20" s="29"/>
      <c r="SR20" s="29"/>
      <c r="SS20" s="29"/>
      <c r="ST20" s="29"/>
      <c r="SU20" s="29"/>
      <c r="SV20" s="29"/>
      <c r="SW20" s="29"/>
      <c r="SX20" s="29"/>
      <c r="SY20" s="29"/>
      <c r="SZ20" s="29"/>
      <c r="TA20" s="29"/>
      <c r="TB20" s="29"/>
      <c r="TC20" s="29"/>
      <c r="TD20" s="29"/>
      <c r="TE20" s="29"/>
      <c r="TF20" s="29"/>
      <c r="TG20" s="29"/>
      <c r="TH20" s="29"/>
      <c r="TI20" s="29"/>
      <c r="TJ20" s="29"/>
      <c r="TK20" s="29"/>
      <c r="TL20" s="29"/>
      <c r="TM20" s="29"/>
      <c r="TN20" s="29"/>
      <c r="TO20" s="29"/>
      <c r="TP20" s="29"/>
      <c r="TQ20" s="29"/>
      <c r="TR20" s="29"/>
      <c r="TS20" s="29"/>
      <c r="TT20" s="29"/>
      <c r="TU20" s="29"/>
      <c r="TV20" s="29"/>
      <c r="TW20" s="29"/>
      <c r="TX20" s="29"/>
      <c r="TY20" s="29"/>
      <c r="TZ20" s="29"/>
      <c r="UA20" s="29"/>
      <c r="UB20" s="29"/>
      <c r="UC20" s="29"/>
      <c r="UD20" s="29"/>
      <c r="UE20" s="29"/>
      <c r="UF20" s="29"/>
      <c r="UG20" s="29"/>
      <c r="UH20" s="29"/>
      <c r="UI20" s="29"/>
      <c r="UJ20" s="29"/>
      <c r="UK20" s="29"/>
      <c r="UL20" s="29"/>
      <c r="UM20" s="29"/>
      <c r="UN20" s="29"/>
      <c r="UO20" s="29"/>
      <c r="UP20" s="29"/>
      <c r="UQ20" s="29"/>
      <c r="UR20" s="29"/>
      <c r="US20" s="29"/>
      <c r="UT20" s="29"/>
      <c r="UU20" s="29"/>
      <c r="UV20" s="29"/>
      <c r="UW20" s="29"/>
      <c r="UX20" s="29"/>
      <c r="UY20" s="29"/>
      <c r="UZ20" s="29"/>
      <c r="VA20" s="29"/>
      <c r="VB20" s="29"/>
      <c r="VC20" s="29"/>
      <c r="VD20" s="29"/>
      <c r="VE20" s="29"/>
      <c r="VF20" s="29"/>
      <c r="VG20" s="29"/>
      <c r="VH20" s="29"/>
      <c r="VI20" s="29"/>
      <c r="VJ20" s="29"/>
      <c r="VK20" s="29"/>
      <c r="VL20" s="29"/>
      <c r="VM20" s="29"/>
      <c r="VN20" s="29"/>
      <c r="VO20" s="29"/>
      <c r="VP20" s="29"/>
      <c r="VQ20" s="29"/>
      <c r="VR20" s="29"/>
      <c r="VS20" s="29"/>
      <c r="VT20" s="29"/>
      <c r="VU20" s="29"/>
      <c r="VV20" s="29"/>
      <c r="VW20" s="29"/>
      <c r="VX20" s="29"/>
      <c r="VY20" s="29"/>
      <c r="VZ20" s="29"/>
      <c r="WA20" s="29"/>
      <c r="WB20" s="29"/>
      <c r="WC20" s="29"/>
      <c r="WD20" s="29"/>
      <c r="WE20" s="29"/>
      <c r="WF20" s="29"/>
      <c r="WG20" s="29"/>
      <c r="WH20" s="29"/>
      <c r="WI20" s="29"/>
      <c r="WJ20" s="29"/>
      <c r="WK20" s="29"/>
      <c r="WL20" s="29"/>
      <c r="WM20" s="29"/>
      <c r="WN20" s="29"/>
      <c r="WO20" s="29"/>
      <c r="WP20" s="29"/>
      <c r="WQ20" s="29"/>
      <c r="WR20" s="29"/>
      <c r="WS20" s="29"/>
      <c r="WT20" s="29"/>
      <c r="WU20" s="29"/>
      <c r="WV20" s="29"/>
      <c r="WW20" s="29"/>
      <c r="WX20" s="29"/>
      <c r="WY20" s="29"/>
      <c r="WZ20" s="29"/>
      <c r="XA20" s="29"/>
      <c r="XB20" s="29"/>
      <c r="XC20" s="29"/>
      <c r="XD20" s="29"/>
      <c r="XE20" s="29"/>
      <c r="XF20" s="29"/>
      <c r="XG20" s="29"/>
      <c r="XH20" s="29"/>
      <c r="XI20" s="29"/>
      <c r="XJ20" s="29"/>
      <c r="XK20" s="29"/>
      <c r="XL20" s="29"/>
      <c r="XM20" s="29"/>
      <c r="XN20" s="29"/>
      <c r="XO20" s="29"/>
      <c r="XP20" s="29"/>
      <c r="XQ20" s="29"/>
      <c r="XR20" s="29"/>
      <c r="XS20" s="29"/>
      <c r="XT20" s="29"/>
      <c r="XU20" s="29"/>
      <c r="XV20" s="29"/>
      <c r="XW20" s="29"/>
      <c r="XX20" s="29"/>
      <c r="XY20" s="29"/>
      <c r="XZ20" s="29"/>
      <c r="YA20" s="29"/>
      <c r="YB20" s="29"/>
      <c r="YC20" s="29"/>
      <c r="YD20" s="29"/>
      <c r="YE20" s="29"/>
      <c r="YF20" s="29"/>
      <c r="YG20" s="29"/>
      <c r="YH20" s="29"/>
      <c r="YI20" s="29"/>
      <c r="YJ20" s="29"/>
      <c r="YK20" s="29"/>
      <c r="YL20" s="29"/>
      <c r="YM20" s="29"/>
      <c r="YN20" s="29"/>
      <c r="YO20" s="29"/>
      <c r="YP20" s="29"/>
      <c r="YQ20" s="29"/>
      <c r="YR20" s="29"/>
      <c r="YS20" s="29"/>
      <c r="YT20" s="29"/>
      <c r="YU20" s="29"/>
      <c r="YV20" s="29"/>
      <c r="YW20" s="29"/>
      <c r="YX20" s="29"/>
      <c r="YY20" s="29"/>
      <c r="YZ20" s="29"/>
      <c r="ZA20" s="29"/>
      <c r="ZB20" s="29"/>
      <c r="ZC20" s="29"/>
      <c r="ZD20" s="29"/>
      <c r="ZE20" s="29"/>
      <c r="ZF20" s="29"/>
      <c r="ZG20" s="29"/>
      <c r="ZH20" s="29"/>
      <c r="ZI20" s="29"/>
      <c r="ZJ20" s="29"/>
      <c r="ZK20" s="29"/>
      <c r="ZL20" s="29"/>
      <c r="ZM20" s="29"/>
      <c r="ZN20" s="29"/>
      <c r="ZO20" s="29"/>
      <c r="ZP20" s="29"/>
      <c r="ZQ20" s="29"/>
      <c r="ZR20" s="29"/>
      <c r="ZS20" s="29"/>
      <c r="ZT20" s="29"/>
      <c r="ZU20" s="29"/>
      <c r="ZV20" s="29"/>
      <c r="ZW20" s="29"/>
      <c r="ZX20" s="29"/>
      <c r="ZY20" s="29"/>
      <c r="ZZ20" s="29"/>
      <c r="AAA20" s="29"/>
      <c r="AAB20" s="29"/>
      <c r="AAC20" s="29"/>
      <c r="AAD20" s="29"/>
      <c r="AAE20" s="29"/>
      <c r="AAF20" s="29"/>
      <c r="AAG20" s="29"/>
      <c r="AAH20" s="29"/>
      <c r="AAI20" s="29"/>
      <c r="AAJ20" s="29"/>
      <c r="AAK20" s="29"/>
      <c r="AAL20" s="29"/>
      <c r="AAM20" s="29"/>
      <c r="AAN20" s="29"/>
      <c r="AAO20" s="29"/>
      <c r="AAP20" s="29"/>
      <c r="AAQ20" s="29"/>
      <c r="AAR20" s="29"/>
      <c r="AAS20" s="29"/>
      <c r="AAT20" s="29"/>
      <c r="AAU20" s="29"/>
      <c r="AAV20" s="29"/>
      <c r="AAW20" s="29"/>
      <c r="AAX20" s="29"/>
      <c r="AAY20" s="29"/>
      <c r="AAZ20" s="29"/>
      <c r="ABA20" s="29"/>
      <c r="ABB20" s="29"/>
      <c r="ABC20" s="29"/>
      <c r="ABD20" s="29"/>
      <c r="ABE20" s="29"/>
      <c r="ABF20" s="29"/>
      <c r="ABG20" s="29"/>
      <c r="ABH20" s="29"/>
      <c r="ABI20" s="29"/>
      <c r="ABJ20" s="29"/>
      <c r="ABK20" s="29"/>
      <c r="ABL20" s="29"/>
      <c r="ABM20" s="29"/>
      <c r="ABN20" s="29"/>
      <c r="ABO20" s="29"/>
      <c r="ABP20" s="29"/>
      <c r="ABQ20" s="29"/>
      <c r="ABR20" s="29"/>
      <c r="ABS20" s="29"/>
      <c r="ABT20" s="29"/>
      <c r="ABU20" s="29"/>
      <c r="ABV20" s="29"/>
      <c r="ABW20" s="29"/>
      <c r="ABX20" s="29"/>
      <c r="ABY20" s="29"/>
      <c r="ABZ20" s="29"/>
      <c r="ACA20" s="29"/>
      <c r="ACB20" s="29"/>
      <c r="ACC20" s="29"/>
      <c r="ACD20" s="29"/>
      <c r="ACE20" s="29"/>
      <c r="ACF20" s="29"/>
      <c r="ACG20" s="29"/>
      <c r="ACH20" s="29"/>
      <c r="ACI20" s="29"/>
      <c r="ACJ20" s="29"/>
      <c r="ACK20" s="29"/>
      <c r="ACL20" s="29"/>
      <c r="ACM20" s="29"/>
      <c r="ACN20" s="29"/>
      <c r="ACO20" s="29"/>
      <c r="ACP20" s="29"/>
      <c r="ACQ20" s="29"/>
      <c r="ACR20" s="29"/>
      <c r="ACS20" s="29"/>
      <c r="ACT20" s="29"/>
      <c r="ACU20" s="29"/>
      <c r="ACV20" s="29"/>
      <c r="ACW20" s="29"/>
      <c r="ACX20" s="29"/>
      <c r="ACY20" s="29"/>
      <c r="ACZ20" s="29"/>
      <c r="ADA20" s="29"/>
      <c r="ADB20" s="29"/>
      <c r="ADC20" s="29"/>
      <c r="ADD20" s="29"/>
      <c r="ADE20" s="29"/>
      <c r="ADF20" s="29"/>
      <c r="ADG20" s="29"/>
      <c r="ADH20" s="29"/>
      <c r="ADI20" s="29"/>
      <c r="ADJ20" s="29"/>
      <c r="ADK20" s="29"/>
      <c r="ADL20" s="29"/>
      <c r="ADM20" s="29"/>
      <c r="ADN20" s="29"/>
      <c r="ADO20" s="29"/>
      <c r="ADP20" s="29"/>
      <c r="ADQ20" s="29"/>
      <c r="ADR20" s="29"/>
      <c r="ADS20" s="29"/>
      <c r="ADT20" s="29"/>
      <c r="ADU20" s="29"/>
      <c r="ADV20" s="29"/>
      <c r="ADW20" s="29"/>
      <c r="ADX20" s="29"/>
      <c r="ADY20" s="29"/>
      <c r="ADZ20" s="29"/>
      <c r="AEA20" s="29"/>
      <c r="AEB20" s="29"/>
      <c r="AEC20" s="29"/>
      <c r="AED20" s="29"/>
      <c r="AEE20" s="29"/>
      <c r="AEF20" s="29"/>
      <c r="AEG20" s="29"/>
      <c r="AEH20" s="29"/>
      <c r="AEI20" s="29"/>
      <c r="AEJ20" s="29"/>
      <c r="AEK20" s="29"/>
      <c r="AEL20" s="29"/>
      <c r="AEM20" s="29"/>
      <c r="AEN20" s="29"/>
      <c r="AEO20" s="29"/>
      <c r="AEP20" s="29"/>
      <c r="AEQ20" s="29"/>
      <c r="AER20" s="29"/>
      <c r="AES20" s="29"/>
      <c r="AET20" s="29"/>
      <c r="AEU20" s="29"/>
      <c r="AEV20" s="29"/>
      <c r="AEW20" s="29"/>
      <c r="AEX20" s="29"/>
      <c r="AEY20" s="29"/>
      <c r="AEZ20" s="29"/>
      <c r="AFA20" s="29"/>
      <c r="AFB20" s="29"/>
      <c r="AFC20" s="29"/>
      <c r="AFD20" s="29"/>
      <c r="AFE20" s="29"/>
      <c r="AFF20" s="29"/>
      <c r="AFG20" s="29"/>
      <c r="AFH20" s="29"/>
      <c r="AFI20" s="29"/>
      <c r="AFJ20" s="29"/>
      <c r="AFK20" s="29"/>
      <c r="AFL20" s="29"/>
      <c r="AFM20" s="29"/>
      <c r="AFN20" s="29"/>
      <c r="AFO20" s="29"/>
      <c r="AFP20" s="29"/>
      <c r="AFQ20" s="29"/>
      <c r="AFR20" s="29"/>
      <c r="AFS20" s="29"/>
      <c r="AFT20" s="29"/>
      <c r="AFU20" s="29"/>
      <c r="AFV20" s="29"/>
      <c r="AFW20" s="29"/>
      <c r="AFX20" s="29"/>
      <c r="AFY20" s="29"/>
      <c r="AFZ20" s="29"/>
      <c r="AGA20" s="29"/>
      <c r="AGB20" s="29"/>
      <c r="AGC20" s="29"/>
      <c r="AGD20" s="29"/>
      <c r="AGE20" s="29"/>
      <c r="AGF20" s="29"/>
      <c r="AGG20" s="29"/>
      <c r="AGH20" s="29"/>
      <c r="AGI20" s="29"/>
      <c r="AGJ20" s="29"/>
      <c r="AGK20" s="29"/>
      <c r="AGL20" s="29"/>
      <c r="AGM20" s="29"/>
      <c r="AGN20" s="29"/>
      <c r="AGO20" s="29"/>
      <c r="AGP20" s="29"/>
      <c r="AGQ20" s="29"/>
      <c r="AGR20" s="29"/>
      <c r="AGS20" s="29"/>
      <c r="AGT20" s="29"/>
      <c r="AGU20" s="29"/>
      <c r="AGV20" s="29"/>
      <c r="AGW20" s="29"/>
      <c r="AGX20" s="29"/>
      <c r="AGY20" s="29"/>
      <c r="AGZ20" s="29"/>
      <c r="AHA20" s="29"/>
      <c r="AHB20" s="29"/>
      <c r="AHC20" s="29"/>
      <c r="AHD20" s="29"/>
      <c r="AHE20" s="29"/>
      <c r="AHF20" s="29"/>
      <c r="AHG20" s="29"/>
      <c r="AHH20" s="29"/>
      <c r="AHI20" s="29"/>
      <c r="AHJ20" s="29"/>
      <c r="AHK20" s="29"/>
      <c r="AHL20" s="29"/>
      <c r="AHM20" s="29"/>
      <c r="AHN20" s="29"/>
      <c r="AHO20" s="29"/>
      <c r="AHP20" s="29"/>
      <c r="AHQ20" s="29"/>
      <c r="AHR20" s="29"/>
      <c r="AHS20" s="29"/>
      <c r="AHT20" s="29"/>
      <c r="AHU20" s="29"/>
      <c r="AHV20" s="29"/>
      <c r="AHW20" s="29"/>
      <c r="AHX20" s="29"/>
      <c r="AHY20" s="29"/>
      <c r="AHZ20" s="29"/>
      <c r="AIA20" s="29"/>
      <c r="AIB20" s="29"/>
      <c r="AIC20" s="29"/>
      <c r="AID20" s="29"/>
      <c r="AIE20" s="29"/>
      <c r="AIF20" s="29"/>
      <c r="AIG20" s="29"/>
      <c r="AIH20" s="29"/>
      <c r="AII20" s="29"/>
      <c r="AIJ20" s="29"/>
      <c r="AIK20" s="29"/>
      <c r="AIL20" s="29"/>
      <c r="AIM20" s="29"/>
      <c r="AIN20" s="29"/>
      <c r="AIO20" s="29"/>
      <c r="AIP20" s="29"/>
      <c r="AIQ20" s="29"/>
      <c r="AIR20" s="29"/>
      <c r="AIS20" s="29"/>
      <c r="AIT20" s="29"/>
      <c r="AIU20" s="29"/>
      <c r="AIV20" s="29"/>
      <c r="AIW20" s="29"/>
      <c r="AIX20" s="29"/>
      <c r="AIY20" s="29"/>
      <c r="AIZ20" s="29"/>
      <c r="AJA20" s="29"/>
      <c r="AJB20" s="29"/>
      <c r="AJC20" s="29"/>
      <c r="AJD20" s="29"/>
      <c r="AJE20" s="29"/>
      <c r="AJF20" s="29"/>
      <c r="AJG20" s="29"/>
      <c r="AJH20" s="29"/>
      <c r="AJI20" s="29"/>
      <c r="AJJ20" s="29"/>
      <c r="AJK20" s="29"/>
      <c r="AJL20" s="29"/>
      <c r="AJM20" s="29"/>
      <c r="AJN20" s="29"/>
      <c r="AJO20" s="29"/>
      <c r="AJP20" s="29"/>
      <c r="AJQ20" s="29"/>
      <c r="AJR20" s="29"/>
      <c r="AJS20" s="29"/>
      <c r="AJT20" s="29"/>
      <c r="AJU20" s="29"/>
      <c r="AJV20" s="29"/>
      <c r="AJW20" s="29"/>
      <c r="AJX20" s="29"/>
      <c r="AJY20" s="29"/>
      <c r="AJZ20" s="29"/>
      <c r="AKA20" s="29"/>
      <c r="AKB20" s="29"/>
      <c r="AKC20" s="29"/>
      <c r="AKD20" s="29"/>
      <c r="AKE20" s="29"/>
      <c r="AKF20" s="29"/>
      <c r="AKG20" s="29"/>
      <c r="AKH20" s="29"/>
      <c r="AKI20" s="29"/>
      <c r="AKJ20" s="29"/>
      <c r="AKK20" s="29"/>
      <c r="AKL20" s="29"/>
      <c r="AKM20" s="29"/>
      <c r="AKN20" s="29"/>
      <c r="AKO20" s="29"/>
      <c r="AKP20" s="29"/>
      <c r="AKQ20" s="29"/>
      <c r="AKR20" s="29"/>
      <c r="AKS20" s="29"/>
      <c r="AKT20" s="29"/>
      <c r="AKU20" s="29"/>
      <c r="AKV20" s="29"/>
      <c r="AKW20" s="29"/>
      <c r="AKX20" s="29"/>
      <c r="AKY20" s="29"/>
      <c r="AKZ20" s="29"/>
      <c r="ALA20" s="29"/>
      <c r="ALB20" s="29"/>
      <c r="ALC20" s="29"/>
      <c r="ALD20" s="29"/>
      <c r="ALE20" s="29"/>
      <c r="ALF20" s="29"/>
      <c r="ALG20" s="29"/>
      <c r="ALH20" s="29"/>
      <c r="ALI20" s="29"/>
      <c r="ALJ20" s="29"/>
      <c r="ALK20" s="29"/>
      <c r="ALL20" s="29"/>
      <c r="ALM20" s="29"/>
      <c r="ALN20" s="29"/>
      <c r="ALO20" s="29"/>
      <c r="ALP20" s="29"/>
      <c r="ALQ20" s="29"/>
      <c r="ALR20" s="29"/>
      <c r="ALS20" s="29"/>
      <c r="ALT20" s="29"/>
      <c r="ALU20" s="29"/>
      <c r="ALV20" s="29"/>
      <c r="ALW20" s="29"/>
      <c r="ALX20" s="29"/>
      <c r="ALY20" s="29"/>
      <c r="ALZ20" s="29"/>
      <c r="AMA20" s="29"/>
      <c r="AMB20" s="29"/>
      <c r="AMC20" s="29"/>
      <c r="AMD20" s="29"/>
    </row>
    <row r="21" customFormat="false" ht="15" hidden="false" customHeight="true" outlineLevel="0" collapsed="false">
      <c r="A21" s="16"/>
      <c r="B21" s="64" t="s">
        <v>136</v>
      </c>
      <c r="C21" s="272" t="n">
        <f aca="false">VLOOKUP(B21,Unidades!$D$5:$G$24,4,)</f>
        <v>0.02</v>
      </c>
      <c r="D21" s="273" t="n">
        <f aca="false">'Base Joinville'!AD12*12+'Base Joinville'!AE12*4+'Base Joinville'!AF12*2+'Base Joinville'!AG12</f>
        <v>14406.7195605422</v>
      </c>
      <c r="E21" s="273" t="n">
        <f aca="false">'Base Joinville'!AK12*12+'Base Joinville'!AL12*4+'Base Joinville'!AM12*2+'Base Joinville'!AN12</f>
        <v>17609.3333188508</v>
      </c>
      <c r="G21" s="29"/>
      <c r="H21" s="29"/>
      <c r="I21" s="29"/>
      <c r="J21" s="29"/>
      <c r="K21" s="29"/>
      <c r="L21" s="29"/>
      <c r="M21" s="29"/>
      <c r="IO21" s="16"/>
      <c r="IP21" s="16"/>
      <c r="IQ21" s="16"/>
      <c r="IR21" s="16"/>
      <c r="IS21" s="16"/>
      <c r="IT21" s="16"/>
      <c r="IU21" s="16"/>
      <c r="IV21" s="16"/>
      <c r="IW21" s="16"/>
      <c r="IX21" s="16"/>
      <c r="IY21" s="16"/>
      <c r="IZ21" s="16"/>
      <c r="JA21" s="16"/>
      <c r="JB21" s="16"/>
      <c r="JC21" s="16"/>
      <c r="JD21" s="16"/>
      <c r="JE21" s="16"/>
      <c r="JF21" s="16"/>
      <c r="JG21" s="16"/>
      <c r="JH21" s="16"/>
      <c r="JI21" s="16"/>
      <c r="JJ21" s="16"/>
      <c r="JK21" s="16"/>
      <c r="JL21" s="16"/>
      <c r="JM21" s="16"/>
      <c r="JN21" s="16"/>
      <c r="JO21" s="16"/>
      <c r="JP21" s="16"/>
      <c r="JQ21" s="16"/>
      <c r="JR21" s="16"/>
      <c r="JS21" s="16"/>
      <c r="JT21" s="16"/>
      <c r="JU21" s="16"/>
      <c r="JV21" s="16"/>
      <c r="JW21" s="16"/>
      <c r="JX21" s="16"/>
      <c r="JY21" s="16"/>
      <c r="JZ21" s="16"/>
      <c r="KA21" s="16"/>
      <c r="KB21" s="16"/>
      <c r="KC21" s="16"/>
      <c r="KD21" s="16"/>
      <c r="KE21" s="16"/>
      <c r="KF21" s="16"/>
      <c r="KG21" s="16"/>
      <c r="KH21" s="16"/>
      <c r="KI21" s="16"/>
      <c r="KJ21" s="16"/>
      <c r="KK21" s="16"/>
      <c r="KL21" s="16"/>
      <c r="KM21" s="16"/>
      <c r="KN21" s="16"/>
      <c r="KO21" s="16"/>
      <c r="KP21" s="16"/>
      <c r="KQ21" s="16"/>
      <c r="KR21" s="16"/>
      <c r="KS21" s="16"/>
      <c r="KT21" s="16"/>
      <c r="KU21" s="16"/>
      <c r="KV21" s="16"/>
      <c r="KW21" s="16"/>
      <c r="KX21" s="16"/>
      <c r="KY21" s="16"/>
      <c r="KZ21" s="16"/>
      <c r="LA21" s="16"/>
      <c r="LB21" s="16"/>
      <c r="LC21" s="16"/>
      <c r="LD21" s="16"/>
      <c r="LE21" s="16"/>
      <c r="LF21" s="16"/>
      <c r="LG21" s="16"/>
      <c r="LH21" s="16"/>
      <c r="LI21" s="16"/>
      <c r="LJ21" s="16"/>
      <c r="LK21" s="16"/>
      <c r="LL21" s="16"/>
      <c r="LM21" s="16"/>
      <c r="LN21" s="16"/>
      <c r="LO21" s="16"/>
      <c r="LP21" s="16"/>
      <c r="LQ21" s="16"/>
      <c r="LR21" s="16"/>
      <c r="LS21" s="16"/>
      <c r="LT21" s="16"/>
      <c r="LU21" s="16"/>
      <c r="LV21" s="16"/>
      <c r="LW21" s="16"/>
      <c r="LX21" s="16"/>
      <c r="LY21" s="16"/>
      <c r="LZ21" s="16"/>
      <c r="MA21" s="16"/>
      <c r="MB21" s="16"/>
      <c r="MC21" s="16"/>
      <c r="MD21" s="16"/>
      <c r="ME21" s="16"/>
      <c r="MF21" s="16"/>
      <c r="MG21" s="16"/>
      <c r="MH21" s="16"/>
      <c r="MI21" s="16"/>
      <c r="MJ21" s="16"/>
      <c r="MK21" s="16"/>
      <c r="ML21" s="16"/>
      <c r="MM21" s="16"/>
      <c r="MN21" s="16"/>
      <c r="MO21" s="16"/>
      <c r="MP21" s="16"/>
      <c r="MQ21" s="16"/>
      <c r="MR21" s="16"/>
      <c r="MS21" s="16"/>
      <c r="MT21" s="16"/>
      <c r="MU21" s="16"/>
      <c r="MV21" s="16"/>
      <c r="MW21" s="16"/>
      <c r="MX21" s="16"/>
      <c r="MY21" s="16"/>
      <c r="MZ21" s="16"/>
      <c r="NA21" s="16"/>
      <c r="NB21" s="16"/>
      <c r="NC21" s="16"/>
      <c r="ND21" s="16"/>
      <c r="NE21" s="16"/>
      <c r="NF21" s="16"/>
      <c r="NG21" s="16"/>
      <c r="NH21" s="16"/>
      <c r="NI21" s="16"/>
      <c r="NJ21" s="16"/>
      <c r="NK21" s="16"/>
      <c r="NL21" s="16"/>
      <c r="NM21" s="16"/>
      <c r="NN21" s="16"/>
      <c r="NO21" s="16"/>
      <c r="NP21" s="16"/>
      <c r="NQ21" s="16"/>
      <c r="NR21" s="16"/>
      <c r="NS21" s="16"/>
      <c r="NT21" s="16"/>
      <c r="NU21" s="16"/>
      <c r="NV21" s="16"/>
      <c r="NW21" s="16"/>
      <c r="NX21" s="16"/>
      <c r="NY21" s="16"/>
      <c r="NZ21" s="16"/>
      <c r="OA21" s="16"/>
      <c r="OB21" s="16"/>
      <c r="OC21" s="16"/>
      <c r="OD21" s="16"/>
      <c r="OE21" s="16"/>
      <c r="OF21" s="16"/>
      <c r="OG21" s="16"/>
      <c r="OH21" s="16"/>
      <c r="OI21" s="16"/>
      <c r="OJ21" s="16"/>
      <c r="OK21" s="16"/>
      <c r="OL21" s="16"/>
      <c r="OM21" s="16"/>
      <c r="ON21" s="16"/>
      <c r="OO21" s="16"/>
      <c r="OP21" s="16"/>
      <c r="OQ21" s="16"/>
      <c r="OR21" s="16"/>
      <c r="OS21" s="16"/>
      <c r="OT21" s="16"/>
      <c r="OU21" s="16"/>
      <c r="OV21" s="16"/>
      <c r="OW21" s="16"/>
      <c r="OX21" s="16"/>
      <c r="OY21" s="16"/>
      <c r="OZ21" s="16"/>
      <c r="PA21" s="16"/>
      <c r="PB21" s="16"/>
      <c r="PC21" s="16"/>
      <c r="PD21" s="16"/>
      <c r="PE21" s="16"/>
      <c r="PF21" s="16"/>
      <c r="PG21" s="16"/>
      <c r="PH21" s="16"/>
      <c r="PI21" s="16"/>
      <c r="PJ21" s="16"/>
      <c r="PK21" s="16"/>
      <c r="PL21" s="16"/>
      <c r="PM21" s="16"/>
      <c r="PN21" s="16"/>
      <c r="PO21" s="16"/>
      <c r="PP21" s="16"/>
      <c r="PQ21" s="16"/>
      <c r="PR21" s="16"/>
      <c r="PS21" s="16"/>
      <c r="PT21" s="16"/>
      <c r="PU21" s="16"/>
      <c r="PV21" s="16"/>
      <c r="PW21" s="16"/>
      <c r="PX21" s="16"/>
      <c r="PY21" s="16"/>
      <c r="PZ21" s="16"/>
      <c r="QA21" s="16"/>
      <c r="QB21" s="16"/>
      <c r="QC21" s="16"/>
      <c r="QD21" s="16"/>
      <c r="QE21" s="16"/>
      <c r="QF21" s="16"/>
      <c r="QG21" s="16"/>
      <c r="QH21" s="16"/>
      <c r="QI21" s="16"/>
      <c r="QJ21" s="16"/>
      <c r="QK21" s="16"/>
      <c r="QL21" s="16"/>
      <c r="QM21" s="16"/>
      <c r="QN21" s="16"/>
      <c r="QO21" s="16"/>
      <c r="QP21" s="16"/>
      <c r="QQ21" s="16"/>
      <c r="QR21" s="16"/>
      <c r="QS21" s="16"/>
      <c r="QT21" s="16"/>
      <c r="QU21" s="16"/>
      <c r="QV21" s="16"/>
      <c r="QW21" s="16"/>
      <c r="QX21" s="16"/>
      <c r="QY21" s="16"/>
      <c r="QZ21" s="16"/>
      <c r="RA21" s="16"/>
      <c r="RB21" s="16"/>
      <c r="RC21" s="16"/>
      <c r="RD21" s="16"/>
      <c r="RE21" s="16"/>
      <c r="RF21" s="16"/>
      <c r="RG21" s="16"/>
      <c r="RH21" s="16"/>
      <c r="RI21" s="16"/>
      <c r="RJ21" s="16"/>
      <c r="RK21" s="16"/>
      <c r="RL21" s="16"/>
      <c r="RM21" s="16"/>
      <c r="RN21" s="16"/>
      <c r="RO21" s="16"/>
      <c r="RP21" s="16"/>
      <c r="RQ21" s="16"/>
      <c r="RR21" s="16"/>
      <c r="RS21" s="16"/>
      <c r="RT21" s="16"/>
      <c r="RU21" s="16"/>
      <c r="RV21" s="16"/>
      <c r="RW21" s="16"/>
      <c r="RX21" s="16"/>
      <c r="RY21" s="16"/>
      <c r="RZ21" s="16"/>
      <c r="SA21" s="16"/>
      <c r="SB21" s="16"/>
      <c r="SC21" s="16"/>
      <c r="SD21" s="16"/>
      <c r="SE21" s="16"/>
      <c r="SF21" s="16"/>
      <c r="SG21" s="16"/>
      <c r="SH21" s="16"/>
      <c r="SI21" s="16"/>
      <c r="SJ21" s="16"/>
      <c r="SK21" s="16"/>
      <c r="SL21" s="16"/>
      <c r="SM21" s="16"/>
      <c r="SN21" s="16"/>
      <c r="SO21" s="16"/>
      <c r="SP21" s="16"/>
      <c r="SQ21" s="16"/>
      <c r="SR21" s="16"/>
      <c r="SS21" s="16"/>
      <c r="ST21" s="16"/>
      <c r="SU21" s="16"/>
      <c r="SV21" s="16"/>
      <c r="SW21" s="16"/>
      <c r="SX21" s="16"/>
      <c r="SY21" s="16"/>
      <c r="SZ21" s="16"/>
      <c r="TA21" s="16"/>
      <c r="TB21" s="16"/>
      <c r="TC21" s="16"/>
      <c r="TD21" s="16"/>
      <c r="TE21" s="16"/>
      <c r="TF21" s="16"/>
      <c r="TG21" s="16"/>
      <c r="TH21" s="16"/>
      <c r="TI21" s="16"/>
      <c r="TJ21" s="16"/>
      <c r="TK21" s="16"/>
      <c r="TL21" s="16"/>
      <c r="TM21" s="16"/>
      <c r="TN21" s="16"/>
      <c r="TO21" s="16"/>
      <c r="TP21" s="16"/>
      <c r="TQ21" s="16"/>
      <c r="TR21" s="16"/>
      <c r="TS21" s="16"/>
      <c r="TT21" s="16"/>
      <c r="TU21" s="16"/>
      <c r="TV21" s="16"/>
      <c r="TW21" s="16"/>
      <c r="TX21" s="16"/>
      <c r="TY21" s="16"/>
      <c r="TZ21" s="16"/>
      <c r="UA21" s="16"/>
      <c r="UB21" s="16"/>
      <c r="UC21" s="16"/>
      <c r="UD21" s="16"/>
      <c r="UE21" s="16"/>
      <c r="UF21" s="16"/>
      <c r="UG21" s="16"/>
      <c r="UH21" s="16"/>
      <c r="UI21" s="16"/>
      <c r="UJ21" s="16"/>
      <c r="UK21" s="16"/>
      <c r="UL21" s="16"/>
      <c r="UM21" s="16"/>
      <c r="UN21" s="16"/>
      <c r="UO21" s="16"/>
      <c r="UP21" s="16"/>
      <c r="UQ21" s="16"/>
      <c r="UR21" s="16"/>
      <c r="US21" s="16"/>
      <c r="UT21" s="16"/>
      <c r="UU21" s="16"/>
      <c r="UV21" s="16"/>
      <c r="UW21" s="16"/>
      <c r="UX21" s="16"/>
      <c r="UY21" s="16"/>
      <c r="UZ21" s="16"/>
      <c r="VA21" s="16"/>
      <c r="VB21" s="16"/>
      <c r="VC21" s="16"/>
      <c r="VD21" s="16"/>
      <c r="VE21" s="16"/>
      <c r="VF21" s="16"/>
      <c r="VG21" s="16"/>
      <c r="VH21" s="16"/>
      <c r="VI21" s="16"/>
      <c r="VJ21" s="16"/>
      <c r="VK21" s="16"/>
      <c r="VL21" s="16"/>
      <c r="VM21" s="16"/>
      <c r="VN21" s="16"/>
      <c r="VO21" s="16"/>
      <c r="VP21" s="16"/>
      <c r="VQ21" s="16"/>
      <c r="VR21" s="16"/>
      <c r="VS21" s="16"/>
      <c r="VT21" s="16"/>
      <c r="VU21" s="16"/>
      <c r="VV21" s="16"/>
      <c r="VW21" s="16"/>
      <c r="VX21" s="16"/>
      <c r="VY21" s="16"/>
      <c r="VZ21" s="16"/>
      <c r="WA21" s="16"/>
      <c r="WB21" s="16"/>
      <c r="WC21" s="16"/>
      <c r="WD21" s="16"/>
      <c r="WE21" s="16"/>
      <c r="WF21" s="16"/>
      <c r="WG21" s="16"/>
      <c r="WH21" s="16"/>
      <c r="WI21" s="16"/>
      <c r="WJ21" s="16"/>
      <c r="WK21" s="16"/>
      <c r="WL21" s="16"/>
      <c r="WM21" s="16"/>
      <c r="WN21" s="16"/>
      <c r="WO21" s="16"/>
      <c r="WP21" s="16"/>
      <c r="WQ21" s="16"/>
      <c r="WR21" s="16"/>
      <c r="WS21" s="16"/>
      <c r="WT21" s="16"/>
      <c r="WU21" s="16"/>
      <c r="WV21" s="16"/>
      <c r="WW21" s="16"/>
      <c r="WX21" s="16"/>
      <c r="WY21" s="16"/>
      <c r="WZ21" s="16"/>
      <c r="XA21" s="16"/>
      <c r="XB21" s="16"/>
      <c r="XC21" s="16"/>
      <c r="XD21" s="16"/>
      <c r="XE21" s="16"/>
      <c r="XF21" s="16"/>
      <c r="XG21" s="16"/>
      <c r="XH21" s="16"/>
      <c r="XI21" s="16"/>
      <c r="XJ21" s="16"/>
      <c r="XK21" s="16"/>
      <c r="XL21" s="16"/>
      <c r="XM21" s="16"/>
      <c r="XN21" s="16"/>
      <c r="XO21" s="16"/>
      <c r="XP21" s="16"/>
      <c r="XQ21" s="16"/>
      <c r="XR21" s="16"/>
      <c r="XS21" s="16"/>
      <c r="XT21" s="16"/>
      <c r="XU21" s="16"/>
      <c r="XV21" s="16"/>
      <c r="XW21" s="16"/>
      <c r="XX21" s="16"/>
      <c r="XY21" s="16"/>
      <c r="XZ21" s="16"/>
      <c r="YA21" s="16"/>
      <c r="YB21" s="16"/>
      <c r="YC21" s="16"/>
      <c r="YD21" s="16"/>
      <c r="YE21" s="16"/>
      <c r="YF21" s="16"/>
      <c r="YG21" s="16"/>
      <c r="YH21" s="16"/>
      <c r="YI21" s="16"/>
      <c r="YJ21" s="16"/>
      <c r="YK21" s="16"/>
      <c r="YL21" s="16"/>
      <c r="YM21" s="16"/>
      <c r="YN21" s="16"/>
      <c r="YO21" s="16"/>
      <c r="YP21" s="16"/>
      <c r="YQ21" s="16"/>
      <c r="YR21" s="16"/>
      <c r="YS21" s="16"/>
      <c r="YT21" s="16"/>
      <c r="YU21" s="16"/>
      <c r="YV21" s="16"/>
      <c r="YW21" s="16"/>
      <c r="YX21" s="16"/>
      <c r="YY21" s="16"/>
      <c r="YZ21" s="16"/>
      <c r="ZA21" s="16"/>
      <c r="ZB21" s="16"/>
      <c r="ZC21" s="16"/>
      <c r="ZD21" s="16"/>
      <c r="ZE21" s="16"/>
      <c r="ZF21" s="16"/>
      <c r="ZG21" s="16"/>
      <c r="ZH21" s="16"/>
      <c r="ZI21" s="16"/>
      <c r="ZJ21" s="16"/>
      <c r="ZK21" s="16"/>
      <c r="ZL21" s="16"/>
      <c r="ZM21" s="16"/>
      <c r="ZN21" s="16"/>
      <c r="ZO21" s="16"/>
      <c r="ZP21" s="16"/>
      <c r="ZQ21" s="16"/>
      <c r="ZR21" s="16"/>
      <c r="ZS21" s="16"/>
      <c r="ZT21" s="16"/>
      <c r="ZU21" s="16"/>
      <c r="ZV21" s="16"/>
      <c r="ZW21" s="16"/>
      <c r="ZX21" s="16"/>
      <c r="ZY21" s="16"/>
      <c r="ZZ21" s="16"/>
      <c r="AAA21" s="16"/>
      <c r="AAB21" s="16"/>
      <c r="AAC21" s="16"/>
      <c r="AAD21" s="16"/>
      <c r="AAE21" s="16"/>
      <c r="AAF21" s="16"/>
      <c r="AAG21" s="16"/>
      <c r="AAH21" s="16"/>
      <c r="AAI21" s="16"/>
      <c r="AAJ21" s="16"/>
      <c r="AAK21" s="16"/>
      <c r="AAL21" s="16"/>
      <c r="AAM21" s="16"/>
      <c r="AAN21" s="16"/>
      <c r="AAO21" s="16"/>
      <c r="AAP21" s="16"/>
      <c r="AAQ21" s="16"/>
      <c r="AAR21" s="16"/>
      <c r="AAS21" s="16"/>
      <c r="AAT21" s="16"/>
      <c r="AAU21" s="16"/>
      <c r="AAV21" s="16"/>
      <c r="AAW21" s="16"/>
      <c r="AAX21" s="16"/>
      <c r="AAY21" s="16"/>
      <c r="AAZ21" s="16"/>
      <c r="ABA21" s="16"/>
      <c r="ABB21" s="16"/>
      <c r="ABC21" s="16"/>
      <c r="ABD21" s="16"/>
      <c r="ABE21" s="16"/>
      <c r="ABF21" s="16"/>
      <c r="ABG21" s="16"/>
      <c r="ABH21" s="16"/>
      <c r="ABI21" s="16"/>
      <c r="ABJ21" s="16"/>
      <c r="ABK21" s="16"/>
      <c r="ABL21" s="16"/>
      <c r="ABM21" s="16"/>
      <c r="ABN21" s="16"/>
      <c r="ABO21" s="16"/>
      <c r="ABP21" s="16"/>
      <c r="ABQ21" s="16"/>
      <c r="ABR21" s="16"/>
      <c r="ABS21" s="16"/>
      <c r="ABT21" s="16"/>
      <c r="ABU21" s="16"/>
      <c r="ABV21" s="16"/>
      <c r="ABW21" s="16"/>
      <c r="ABX21" s="16"/>
      <c r="ABY21" s="16"/>
      <c r="ABZ21" s="16"/>
      <c r="ACA21" s="16"/>
      <c r="ACB21" s="16"/>
      <c r="ACC21" s="16"/>
      <c r="ACD21" s="16"/>
      <c r="ACE21" s="16"/>
      <c r="ACF21" s="16"/>
      <c r="ACG21" s="16"/>
      <c r="ACH21" s="16"/>
      <c r="ACI21" s="16"/>
      <c r="ACJ21" s="16"/>
      <c r="ACK21" s="16"/>
      <c r="ACL21" s="16"/>
      <c r="ACM21" s="16"/>
      <c r="ACN21" s="16"/>
      <c r="ACO21" s="16"/>
      <c r="ACP21" s="16"/>
      <c r="ACQ21" s="16"/>
      <c r="ACR21" s="16"/>
      <c r="ACS21" s="16"/>
      <c r="ACT21" s="16"/>
      <c r="ACU21" s="16"/>
      <c r="ACV21" s="16"/>
      <c r="ACW21" s="16"/>
      <c r="ACX21" s="16"/>
      <c r="ACY21" s="16"/>
      <c r="ACZ21" s="16"/>
      <c r="ADA21" s="16"/>
      <c r="ADB21" s="16"/>
      <c r="ADC21" s="16"/>
      <c r="ADD21" s="16"/>
      <c r="ADE21" s="16"/>
      <c r="ADF21" s="16"/>
      <c r="ADG21" s="16"/>
      <c r="ADH21" s="16"/>
      <c r="ADI21" s="16"/>
      <c r="ADJ21" s="16"/>
      <c r="ADK21" s="16"/>
      <c r="ADL21" s="16"/>
      <c r="ADM21" s="16"/>
      <c r="ADN21" s="16"/>
      <c r="ADO21" s="16"/>
      <c r="ADP21" s="16"/>
      <c r="ADQ21" s="16"/>
      <c r="ADR21" s="16"/>
      <c r="ADS21" s="16"/>
      <c r="ADT21" s="16"/>
      <c r="ADU21" s="16"/>
      <c r="ADV21" s="16"/>
      <c r="ADW21" s="16"/>
      <c r="ADX21" s="16"/>
      <c r="ADY21" s="16"/>
      <c r="ADZ21" s="16"/>
      <c r="AEA21" s="16"/>
      <c r="AEB21" s="16"/>
      <c r="AEC21" s="16"/>
      <c r="AED21" s="16"/>
      <c r="AEE21" s="16"/>
      <c r="AEF21" s="16"/>
      <c r="AEG21" s="16"/>
      <c r="AEH21" s="16"/>
      <c r="AEI21" s="16"/>
      <c r="AEJ21" s="16"/>
      <c r="AEK21" s="16"/>
      <c r="AEL21" s="16"/>
      <c r="AEM21" s="16"/>
      <c r="AEN21" s="16"/>
      <c r="AEO21" s="16"/>
      <c r="AEP21" s="16"/>
      <c r="AEQ21" s="16"/>
      <c r="AER21" s="16"/>
      <c r="AES21" s="16"/>
      <c r="AET21" s="16"/>
      <c r="AEU21" s="16"/>
      <c r="AEV21" s="16"/>
      <c r="AEW21" s="16"/>
      <c r="AEX21" s="16"/>
      <c r="AEY21" s="16"/>
      <c r="AEZ21" s="16"/>
      <c r="AFA21" s="16"/>
      <c r="AFB21" s="16"/>
      <c r="AFC21" s="16"/>
      <c r="AFD21" s="16"/>
      <c r="AFE21" s="16"/>
      <c r="AFF21" s="16"/>
      <c r="AFG21" s="16"/>
      <c r="AFH21" s="16"/>
      <c r="AFI21" s="16"/>
      <c r="AFJ21" s="16"/>
      <c r="AFK21" s="16"/>
      <c r="AFL21" s="16"/>
      <c r="AFM21" s="16"/>
      <c r="AFN21" s="16"/>
      <c r="AFO21" s="16"/>
      <c r="AFP21" s="16"/>
      <c r="AFQ21" s="16"/>
      <c r="AFR21" s="16"/>
      <c r="AFS21" s="16"/>
      <c r="AFT21" s="16"/>
      <c r="AFU21" s="16"/>
      <c r="AFV21" s="16"/>
      <c r="AFW21" s="16"/>
      <c r="AFX21" s="16"/>
      <c r="AFY21" s="16"/>
      <c r="AFZ21" s="16"/>
      <c r="AGA21" s="16"/>
      <c r="AGB21" s="16"/>
      <c r="AGC21" s="16"/>
      <c r="AGD21" s="16"/>
      <c r="AGE21" s="16"/>
      <c r="AGF21" s="16"/>
      <c r="AGG21" s="16"/>
      <c r="AGH21" s="16"/>
      <c r="AGI21" s="16"/>
      <c r="AGJ21" s="16"/>
      <c r="AGK21" s="16"/>
      <c r="AGL21" s="16"/>
      <c r="AGM21" s="16"/>
      <c r="AGN21" s="16"/>
      <c r="AGO21" s="16"/>
      <c r="AGP21" s="16"/>
      <c r="AGQ21" s="16"/>
      <c r="AGR21" s="16"/>
      <c r="AGS21" s="16"/>
      <c r="AGT21" s="16"/>
      <c r="AGU21" s="16"/>
      <c r="AGV21" s="16"/>
      <c r="AGW21" s="16"/>
      <c r="AGX21" s="16"/>
      <c r="AGY21" s="16"/>
      <c r="AGZ21" s="16"/>
      <c r="AHA21" s="16"/>
      <c r="AHB21" s="16"/>
      <c r="AHC21" s="16"/>
      <c r="AHD21" s="16"/>
      <c r="AHE21" s="16"/>
      <c r="AHF21" s="16"/>
      <c r="AHG21" s="16"/>
      <c r="AHH21" s="16"/>
      <c r="AHI21" s="16"/>
      <c r="AHJ21" s="16"/>
      <c r="AHK21" s="16"/>
      <c r="AHL21" s="16"/>
      <c r="AHM21" s="16"/>
      <c r="AHN21" s="16"/>
      <c r="AHO21" s="16"/>
      <c r="AHP21" s="16"/>
      <c r="AHQ21" s="16"/>
      <c r="AHR21" s="16"/>
      <c r="AHS21" s="16"/>
      <c r="AHT21" s="16"/>
      <c r="AHU21" s="16"/>
      <c r="AHV21" s="16"/>
      <c r="AHW21" s="16"/>
      <c r="AHX21" s="16"/>
      <c r="AHY21" s="16"/>
      <c r="AHZ21" s="16"/>
      <c r="AIA21" s="16"/>
      <c r="AIB21" s="16"/>
      <c r="AIC21" s="16"/>
      <c r="AID21" s="16"/>
      <c r="AIE21" s="16"/>
      <c r="AIF21" s="16"/>
      <c r="AIG21" s="16"/>
      <c r="AIH21" s="16"/>
      <c r="AII21" s="16"/>
      <c r="AIJ21" s="16"/>
      <c r="AIK21" s="16"/>
      <c r="AIL21" s="16"/>
      <c r="AIM21" s="16"/>
      <c r="AIN21" s="16"/>
      <c r="AIO21" s="16"/>
      <c r="AIP21" s="16"/>
      <c r="AIQ21" s="16"/>
      <c r="AIR21" s="16"/>
      <c r="AIS21" s="16"/>
      <c r="AIT21" s="16"/>
      <c r="AIU21" s="16"/>
      <c r="AIV21" s="16"/>
      <c r="AIW21" s="16"/>
      <c r="AIX21" s="16"/>
      <c r="AIY21" s="16"/>
      <c r="AIZ21" s="16"/>
      <c r="AJA21" s="16"/>
      <c r="AJB21" s="16"/>
      <c r="AJC21" s="16"/>
      <c r="AJD21" s="16"/>
      <c r="AJE21" s="16"/>
      <c r="AJF21" s="16"/>
      <c r="AJG21" s="16"/>
      <c r="AJH21" s="16"/>
      <c r="AJI21" s="16"/>
      <c r="AJJ21" s="16"/>
      <c r="AJK21" s="16"/>
      <c r="AJL21" s="16"/>
      <c r="AJM21" s="16"/>
      <c r="AJN21" s="16"/>
      <c r="AJO21" s="16"/>
      <c r="AJP21" s="16"/>
      <c r="AJQ21" s="16"/>
      <c r="AJR21" s="16"/>
      <c r="AJS21" s="16"/>
      <c r="AJT21" s="16"/>
      <c r="AJU21" s="16"/>
      <c r="AJV21" s="16"/>
      <c r="AJW21" s="16"/>
      <c r="AJX21" s="16"/>
      <c r="AJY21" s="16"/>
      <c r="AJZ21" s="16"/>
      <c r="AKA21" s="16"/>
      <c r="AKB21" s="16"/>
      <c r="AKC21" s="16"/>
      <c r="AKD21" s="16"/>
      <c r="AKE21" s="16"/>
      <c r="AKF21" s="16"/>
      <c r="AKG21" s="16"/>
      <c r="AKH21" s="16"/>
      <c r="AKI21" s="16"/>
      <c r="AKJ21" s="16"/>
      <c r="AKK21" s="16"/>
      <c r="AKL21" s="16"/>
      <c r="AKM21" s="16"/>
      <c r="AKN21" s="16"/>
      <c r="AKO21" s="16"/>
      <c r="AKP21" s="16"/>
      <c r="AKQ21" s="16"/>
      <c r="AKR21" s="16"/>
      <c r="AKS21" s="16"/>
      <c r="AKT21" s="16"/>
      <c r="AKU21" s="16"/>
      <c r="AKV21" s="16"/>
      <c r="AKW21" s="16"/>
      <c r="AKX21" s="16"/>
      <c r="AKY21" s="16"/>
      <c r="AKZ21" s="16"/>
      <c r="ALA21" s="16"/>
      <c r="ALB21" s="16"/>
      <c r="ALC21" s="16"/>
      <c r="ALD21" s="16"/>
      <c r="ALE21" s="16"/>
      <c r="ALF21" s="16"/>
      <c r="ALG21" s="16"/>
      <c r="ALH21" s="16"/>
      <c r="ALI21" s="16"/>
      <c r="ALJ21" s="16"/>
      <c r="ALK21" s="16"/>
      <c r="ALL21" s="16"/>
      <c r="ALM21" s="16"/>
      <c r="ALN21" s="16"/>
      <c r="ALO21" s="16"/>
      <c r="ALP21" s="16"/>
      <c r="ALQ21" s="16"/>
      <c r="ALR21" s="16"/>
      <c r="ALS21" s="16"/>
      <c r="ALT21" s="16"/>
      <c r="ALU21" s="16"/>
      <c r="ALV21" s="16"/>
      <c r="ALW21" s="16"/>
      <c r="ALX21" s="16"/>
      <c r="ALY21" s="16"/>
      <c r="ALZ21" s="16"/>
      <c r="AMA21" s="16"/>
      <c r="AMB21" s="16"/>
      <c r="AMC21" s="16"/>
      <c r="AMD21" s="16"/>
    </row>
    <row r="22" customFormat="false" ht="15" hidden="false" customHeight="true" outlineLevel="0" collapsed="false">
      <c r="B22" s="64" t="s">
        <v>137</v>
      </c>
      <c r="C22" s="272" t="n">
        <f aca="false">VLOOKUP(B22,Unidades!$D$5:$G$24,4,)</f>
        <v>0.03</v>
      </c>
      <c r="D22" s="273" t="n">
        <f aca="false">'Base Joinville'!AD13*12+'Base Joinville'!AE13*4+'Base Joinville'!AF13*2+'Base Joinville'!AG13</f>
        <v>11302.1085874919</v>
      </c>
      <c r="E22" s="273" t="n">
        <f aca="false">'Base Joinville'!AK13*12+'Base Joinville'!AL13*4+'Base Joinville'!AM13*2+'Base Joinville'!AN13</f>
        <v>13962.6249489875</v>
      </c>
    </row>
    <row r="23" customFormat="false" ht="15" hidden="false" customHeight="true" outlineLevel="0" collapsed="false">
      <c r="B23" s="64" t="s">
        <v>138</v>
      </c>
      <c r="C23" s="272" t="n">
        <f aca="false">VLOOKUP(B23,Unidades!$D$5:$G$24,4,)</f>
        <v>0.02</v>
      </c>
      <c r="D23" s="273" t="n">
        <f aca="false">'Base Joinville'!AD14*12+'Base Joinville'!AE14*4+'Base Joinville'!AF14*2+'Base Joinville'!AG14</f>
        <v>19261.1862313675</v>
      </c>
      <c r="E23" s="273" t="n">
        <f aca="false">'Base Joinville'!AK14*12+'Base Joinville'!AL14*4+'Base Joinville'!AM14*2+'Base Joinville'!AN14</f>
        <v>23542.9479306005</v>
      </c>
    </row>
    <row r="24" customFormat="false" ht="15" hidden="false" customHeight="true" outlineLevel="0" collapsed="false">
      <c r="B24" s="64" t="s">
        <v>139</v>
      </c>
      <c r="C24" s="272" t="n">
        <f aca="false">VLOOKUP(B24,Unidades!$D$5:$G$24,4,)</f>
        <v>0.02</v>
      </c>
      <c r="D24" s="273" t="n">
        <f aca="false">'Base Joinville'!AD15*12+'Base Joinville'!AE15*4+'Base Joinville'!AF15*2+'Base Joinville'!AG15</f>
        <v>12204.5017284511</v>
      </c>
      <c r="E24" s="273" t="n">
        <f aca="false">'Base Joinville'!AK15*12+'Base Joinville'!AL15*4+'Base Joinville'!AM15*2+'Base Joinville'!AN15</f>
        <v>14917.5624626857</v>
      </c>
    </row>
    <row r="25" customFormat="false" ht="15" hidden="false" customHeight="false" outlineLevel="0" collapsed="false">
      <c r="B25" s="269" t="s">
        <v>98</v>
      </c>
      <c r="C25" s="269"/>
      <c r="D25" s="278" t="n">
        <f aca="false">SUM(D5:D24)</f>
        <v>262215.217666667</v>
      </c>
      <c r="E25" s="278" t="n">
        <f aca="false">SUM(E5:E24)</f>
        <v>322947.042242287</v>
      </c>
    </row>
  </sheetData>
  <mergeCells count="2">
    <mergeCell ref="B2:M2"/>
    <mergeCell ref="B25:C25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A1:AME36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L19" activeCellId="0" sqref="L19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33.38"/>
    <col collapsed="false" customWidth="true" hidden="false" outlineLevel="0" max="4" min="3" style="16" width="14.75"/>
    <col collapsed="false" customWidth="true" hidden="false" outlineLevel="0" max="5" min="5" style="16" width="15.62"/>
    <col collapsed="false" customWidth="true" hidden="false" outlineLevel="0" max="6" min="6" style="16" width="13.76"/>
    <col collapsed="false" customWidth="true" hidden="false" outlineLevel="0" max="7" min="7" style="16" width="14.87"/>
    <col collapsed="false" customWidth="true" hidden="false" outlineLevel="0" max="8" min="8" style="16" width="14.38"/>
    <col collapsed="false" customWidth="true" hidden="false" outlineLevel="0" max="9" min="9" style="17" width="14"/>
    <col collapsed="false" customWidth="true" hidden="false" outlineLevel="0" max="10" min="10" style="16" width="14.87"/>
    <col collapsed="false" customWidth="true" hidden="false" outlineLevel="0" max="249" min="11" style="16" width="10.62"/>
    <col collapsed="false" customWidth="true" hidden="false" outlineLevel="0" max="1019" min="250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" t="str">
        <f aca="false">"PLANILHA RESUMO "&amp;'Valor da Contratação'!B7&amp;""</f>
        <v>PLANILHA RESUMO POLO IV</v>
      </c>
      <c r="C2" s="18"/>
      <c r="D2" s="18"/>
      <c r="E2" s="18"/>
      <c r="F2" s="18"/>
      <c r="G2" s="18"/>
      <c r="H2" s="18"/>
      <c r="I2" s="18"/>
      <c r="J2" s="19"/>
    </row>
    <row r="3" customFormat="false" ht="15" hidden="false" customHeight="true" outlineLevel="0" collapsed="false">
      <c r="B3" s="2"/>
      <c r="H3" s="2"/>
      <c r="I3" s="20"/>
    </row>
    <row r="4" customFormat="false" ht="46.5" hidden="false" customHeight="true" outlineLevel="0" collapsed="false">
      <c r="B4" s="21" t="s">
        <v>13</v>
      </c>
      <c r="C4" s="21" t="s">
        <v>14</v>
      </c>
      <c r="D4" s="21" t="s">
        <v>15</v>
      </c>
      <c r="E4" s="21" t="s">
        <v>16</v>
      </c>
      <c r="F4" s="21" t="s">
        <v>17</v>
      </c>
      <c r="G4" s="21" t="s">
        <v>18</v>
      </c>
      <c r="H4" s="21" t="s">
        <v>19</v>
      </c>
      <c r="I4" s="21" t="s">
        <v>20</v>
      </c>
    </row>
    <row r="5" customFormat="false" ht="19.5" hidden="false" customHeight="true" outlineLevel="0" collapsed="false">
      <c r="B5" s="22" t="s">
        <v>21</v>
      </c>
      <c r="C5" s="23" t="n">
        <f aca="false">'Base Blumenau'!C18</f>
        <v>12059.1</v>
      </c>
      <c r="D5" s="24" t="n">
        <f aca="false">'Base Blumenau'!AT10</f>
        <v>13733.3033199558</v>
      </c>
      <c r="E5" s="24" t="n">
        <f aca="false">D5*12</f>
        <v>164799.639839469</v>
      </c>
      <c r="F5" s="24" t="n">
        <f aca="false">'Base Blumenau'!AT12</f>
        <v>41199.9099598674</v>
      </c>
      <c r="G5" s="24" t="n">
        <f aca="false">F5*12</f>
        <v>494398.919518409</v>
      </c>
      <c r="H5" s="24" t="n">
        <f aca="false">D5+F5</f>
        <v>54933.2132798232</v>
      </c>
      <c r="I5" s="24" t="n">
        <f aca="false">H5*12</f>
        <v>659198.559357878</v>
      </c>
    </row>
    <row r="6" customFormat="false" ht="19.5" hidden="false" customHeight="true" outlineLevel="0" collapsed="false">
      <c r="B6" s="22" t="s">
        <v>22</v>
      </c>
      <c r="C6" s="23" t="n">
        <f aca="false">'Base Joinville'!C16</f>
        <v>10788.9</v>
      </c>
      <c r="D6" s="24" t="n">
        <f aca="false">'Base Joinville'!AT10</f>
        <v>13178.9502002348</v>
      </c>
      <c r="E6" s="24" t="n">
        <f aca="false">D6*12</f>
        <v>158147.402402817</v>
      </c>
      <c r="F6" s="24" t="n">
        <f aca="false">'Base Joinville'!AT12</f>
        <v>39536.8506007044</v>
      </c>
      <c r="G6" s="24" t="n">
        <f aca="false">F6*12</f>
        <v>474442.207208452</v>
      </c>
      <c r="H6" s="24" t="n">
        <f aca="false">D6+F6</f>
        <v>52715.8008009391</v>
      </c>
      <c r="I6" s="24" t="n">
        <f aca="false">H6*12</f>
        <v>632589.60961127</v>
      </c>
    </row>
    <row r="7" customFormat="false" ht="19.5" hidden="false" customHeight="true" outlineLevel="0" collapsed="false">
      <c r="B7" s="25" t="str">
        <f aca="false">"TOTAL "&amp;'Valor da Contratação'!B7&amp;""</f>
        <v>TOTAL POLO IV</v>
      </c>
      <c r="C7" s="26" t="n">
        <f aca="false">SUM(C5:C6)</f>
        <v>22848</v>
      </c>
      <c r="D7" s="27" t="n">
        <f aca="false">SUM(D5:D6)</f>
        <v>26912.2535201906</v>
      </c>
      <c r="E7" s="27" t="n">
        <f aca="false">SUM(E5:E6)</f>
        <v>322947.042242287</v>
      </c>
      <c r="F7" s="27" t="n">
        <f aca="false">SUM(F5:F6)</f>
        <v>80736.7605605717</v>
      </c>
      <c r="G7" s="27" t="n">
        <f aca="false">SUM(G5:G6)</f>
        <v>968841.126726861</v>
      </c>
      <c r="H7" s="27" t="n">
        <f aca="false">SUM(H5:H6)</f>
        <v>107649.014080762</v>
      </c>
      <c r="I7" s="27" t="n">
        <f aca="false">SUM(I5:I6)</f>
        <v>1291788.16896915</v>
      </c>
    </row>
    <row r="8" customFormat="false" ht="24.75" hidden="false" customHeight="true" outlineLevel="0" collapsed="false">
      <c r="B8" s="2"/>
      <c r="C8" s="2"/>
      <c r="D8" s="2"/>
      <c r="E8" s="2"/>
      <c r="F8" s="2"/>
      <c r="G8" s="28"/>
      <c r="H8" s="2"/>
      <c r="I8" s="20"/>
    </row>
    <row r="9" s="29" customFormat="true" ht="27" hidden="false" customHeight="true" outlineLevel="0" collapsed="false">
      <c r="B9" s="30" t="str">
        <f aca="false">"BASE "&amp;B5</f>
        <v>BASE BLUMENAU</v>
      </c>
      <c r="C9" s="31" t="s">
        <v>23</v>
      </c>
      <c r="D9" s="31"/>
      <c r="E9" s="31"/>
      <c r="F9" s="31" t="s">
        <v>24</v>
      </c>
      <c r="G9" s="31"/>
      <c r="H9" s="31"/>
      <c r="I9" s="32" t="s">
        <v>25</v>
      </c>
      <c r="IP9" s="33"/>
    </row>
    <row r="10" s="29" customFormat="true" ht="22.5" hidden="false" customHeight="true" outlineLevel="0" collapsed="false">
      <c r="B10" s="30"/>
      <c r="C10" s="34" t="s">
        <v>26</v>
      </c>
      <c r="D10" s="34" t="s">
        <v>27</v>
      </c>
      <c r="E10" s="34" t="s">
        <v>28</v>
      </c>
      <c r="F10" s="35" t="s">
        <v>26</v>
      </c>
      <c r="G10" s="35" t="s">
        <v>27</v>
      </c>
      <c r="H10" s="35" t="s">
        <v>28</v>
      </c>
      <c r="I10" s="35" t="s">
        <v>29</v>
      </c>
      <c r="IP10" s="33"/>
    </row>
    <row r="11" customFormat="false" ht="16.5" hidden="false" customHeight="true" outlineLevel="0" collapsed="false">
      <c r="B11" s="22" t="str">
        <f aca="false">'Base Blumenau'!B7</f>
        <v>APS BALNEÁRIO CAMBORIÚ</v>
      </c>
      <c r="C11" s="24" t="n">
        <f aca="false">'Base Blumenau'!AO7</f>
        <v>1258.38782616434</v>
      </c>
      <c r="D11" s="24" t="n">
        <f aca="false">C11*3</f>
        <v>3775.16347849302</v>
      </c>
      <c r="E11" s="24" t="n">
        <f aca="false">C11+D11</f>
        <v>5033.55130465736</v>
      </c>
      <c r="F11" s="24" t="n">
        <f aca="false">C11*12</f>
        <v>15100.6539139721</v>
      </c>
      <c r="G11" s="24" t="n">
        <f aca="false">F11*3</f>
        <v>45301.9617419162</v>
      </c>
      <c r="H11" s="24" t="n">
        <f aca="false">F11+G11</f>
        <v>60402.6156558883</v>
      </c>
      <c r="I11" s="36" t="n">
        <f aca="false">F11/$E$7</f>
        <v>0.0467589169082496</v>
      </c>
    </row>
    <row r="12" customFormat="false" ht="16.5" hidden="false" customHeight="true" outlineLevel="0" collapsed="false">
      <c r="B12" s="22" t="str">
        <f aca="false">'Base Blumenau'!B8</f>
        <v>APS BRUSQUE</v>
      </c>
      <c r="C12" s="24" t="n">
        <f aca="false">'Base Blumenau'!AO8</f>
        <v>1561.33030079177</v>
      </c>
      <c r="D12" s="24" t="n">
        <f aca="false">C12*3</f>
        <v>4683.99090237531</v>
      </c>
      <c r="E12" s="24" t="n">
        <f aca="false">C12+D12</f>
        <v>6245.32120316708</v>
      </c>
      <c r="F12" s="24" t="n">
        <f aca="false">C12*12</f>
        <v>18735.9636095012</v>
      </c>
      <c r="G12" s="24" t="n">
        <f aca="false">F12*3</f>
        <v>56207.8908285037</v>
      </c>
      <c r="H12" s="24" t="n">
        <f aca="false">F12+G12</f>
        <v>74943.8544380049</v>
      </c>
      <c r="I12" s="36" t="n">
        <f aca="false">F12/$E$7</f>
        <v>0.0580155912852263</v>
      </c>
    </row>
    <row r="13" customFormat="false" ht="16.5" hidden="false" customHeight="true" outlineLevel="0" collapsed="false">
      <c r="B13" s="22" t="str">
        <f aca="false">'Base Blumenau'!B9</f>
        <v>APS IBIRAMA</v>
      </c>
      <c r="C13" s="24" t="n">
        <f aca="false">'Base Blumenau'!AO9</f>
        <v>1301.11092830548</v>
      </c>
      <c r="D13" s="24" t="n">
        <f aca="false">C13*3</f>
        <v>3903.33278491644</v>
      </c>
      <c r="E13" s="24" t="n">
        <f aca="false">C13+D13</f>
        <v>5204.44371322192</v>
      </c>
      <c r="F13" s="24" t="n">
        <f aca="false">C13*12</f>
        <v>15613.3311396658</v>
      </c>
      <c r="G13" s="24" t="n">
        <f aca="false">F13*3</f>
        <v>46839.9934189973</v>
      </c>
      <c r="H13" s="24" t="n">
        <f aca="false">F13+G13</f>
        <v>62453.324558663</v>
      </c>
      <c r="I13" s="36" t="n">
        <f aca="false">F13/$E$7</f>
        <v>0.0483464131804993</v>
      </c>
    </row>
    <row r="14" customFormat="false" ht="16.5" hidden="false" customHeight="true" outlineLevel="0" collapsed="false">
      <c r="B14" s="22" t="str">
        <f aca="false">'Base Blumenau'!B10</f>
        <v>APS INDAIAL</v>
      </c>
      <c r="C14" s="24" t="n">
        <f aca="false">'Base Blumenau'!AO10</f>
        <v>1003.79056288229</v>
      </c>
      <c r="D14" s="24" t="n">
        <f aca="false">C14*3</f>
        <v>3011.37168864687</v>
      </c>
      <c r="E14" s="24" t="n">
        <f aca="false">C14+D14</f>
        <v>4015.16225152916</v>
      </c>
      <c r="F14" s="24" t="n">
        <f aca="false">C14*12</f>
        <v>12045.4867545875</v>
      </c>
      <c r="G14" s="24" t="n">
        <f aca="false">F14*3</f>
        <v>36136.4602637625</v>
      </c>
      <c r="H14" s="24" t="n">
        <f aca="false">F14+G14</f>
        <v>48181.94701835</v>
      </c>
      <c r="I14" s="36" t="n">
        <f aca="false">F14/$E$7</f>
        <v>0.0372986439849495</v>
      </c>
    </row>
    <row r="15" customFormat="false" ht="16.5" hidden="false" customHeight="true" outlineLevel="0" collapsed="false">
      <c r="B15" s="22" t="str">
        <f aca="false">'Base Blumenau'!B11</f>
        <v>APS ITAJAÍ</v>
      </c>
      <c r="C15" s="24" t="n">
        <f aca="false">'Base Blumenau'!AO11</f>
        <v>1507.22024420955</v>
      </c>
      <c r="D15" s="24" t="n">
        <f aca="false">C15*3</f>
        <v>4521.66073262864</v>
      </c>
      <c r="E15" s="24" t="n">
        <f aca="false">C15+D15</f>
        <v>6028.88097683818</v>
      </c>
      <c r="F15" s="24" t="n">
        <f aca="false">C15*12</f>
        <v>18086.6429305146</v>
      </c>
      <c r="G15" s="24" t="n">
        <f aca="false">F15*3</f>
        <v>54259.9287915437</v>
      </c>
      <c r="H15" s="24" t="n">
        <f aca="false">F15+G15</f>
        <v>72346.5717220582</v>
      </c>
      <c r="I15" s="36" t="n">
        <f aca="false">F15/$E$7</f>
        <v>0.0560049808938807</v>
      </c>
    </row>
    <row r="16" customFormat="false" ht="16.5" hidden="false" customHeight="true" outlineLevel="0" collapsed="false">
      <c r="B16" s="22" t="str">
        <f aca="false">'Base Blumenau'!B12</f>
        <v>APS PENHA</v>
      </c>
      <c r="C16" s="24" t="n">
        <f aca="false">'Base Blumenau'!AO12</f>
        <v>1062.24533274997</v>
      </c>
      <c r="D16" s="24" t="n">
        <f aca="false">C16*3</f>
        <v>3186.73599824992</v>
      </c>
      <c r="E16" s="24" t="n">
        <f aca="false">C16+D16</f>
        <v>4248.98133099989</v>
      </c>
      <c r="F16" s="24" t="n">
        <f aca="false">C16*12</f>
        <v>12746.9439929997</v>
      </c>
      <c r="G16" s="24" t="n">
        <f aca="false">F16*3</f>
        <v>38240.831978999</v>
      </c>
      <c r="H16" s="24" t="n">
        <f aca="false">F16+G16</f>
        <v>50987.7759719987</v>
      </c>
      <c r="I16" s="36" t="n">
        <f aca="false">F16/$E$7</f>
        <v>0.0394706943420044</v>
      </c>
    </row>
    <row r="17" customFormat="false" ht="16.5" hidden="false" customHeight="true" outlineLevel="0" collapsed="false">
      <c r="B17" s="22" t="str">
        <f aca="false">'Base Blumenau'!B13</f>
        <v>APS POMERODE</v>
      </c>
      <c r="C17" s="24" t="n">
        <f aca="false">'Base Blumenau'!AO13</f>
        <v>1084.40640680541</v>
      </c>
      <c r="D17" s="24" t="n">
        <f aca="false">C17*3</f>
        <v>3253.21922041623</v>
      </c>
      <c r="E17" s="24" t="n">
        <f aca="false">C17+D17</f>
        <v>4337.62562722165</v>
      </c>
      <c r="F17" s="24" t="n">
        <f aca="false">C17*12</f>
        <v>13012.8768816649</v>
      </c>
      <c r="G17" s="24" t="n">
        <f aca="false">F17*3</f>
        <v>39038.6306449948</v>
      </c>
      <c r="H17" s="24" t="n">
        <f aca="false">F17+G17</f>
        <v>52051.5075266598</v>
      </c>
      <c r="I17" s="36" t="n">
        <f aca="false">F17/$E$7</f>
        <v>0.0402941509893198</v>
      </c>
    </row>
    <row r="18" customFormat="false" ht="16.5" hidden="false" customHeight="true" outlineLevel="0" collapsed="false">
      <c r="B18" s="22" t="str">
        <f aca="false">'Base Blumenau'!B14</f>
        <v>APS RIO DO SUL</v>
      </c>
      <c r="C18" s="24" t="n">
        <f aca="false">'Base Blumenau'!AO14</f>
        <v>1575.63492166788</v>
      </c>
      <c r="D18" s="24" t="n">
        <f aca="false">C18*3</f>
        <v>4726.90476500364</v>
      </c>
      <c r="E18" s="24" t="n">
        <f aca="false">C18+D18</f>
        <v>6302.53968667152</v>
      </c>
      <c r="F18" s="24" t="n">
        <f aca="false">C18*12</f>
        <v>18907.6190600146</v>
      </c>
      <c r="G18" s="24" t="n">
        <f aca="false">F18*3</f>
        <v>56722.8571800437</v>
      </c>
      <c r="H18" s="24" t="n">
        <f aca="false">F18+G18</f>
        <v>75630.4762400582</v>
      </c>
      <c r="I18" s="36" t="n">
        <f aca="false">F18/$E$7</f>
        <v>0.0585471194556703</v>
      </c>
    </row>
    <row r="19" customFormat="false" ht="16.5" hidden="false" customHeight="true" outlineLevel="0" collapsed="false">
      <c r="B19" s="22" t="str">
        <f aca="false">'Base Blumenau'!B15</f>
        <v>APS TIMBÓ</v>
      </c>
      <c r="C19" s="24" t="n">
        <f aca="false">'Base Blumenau'!AO15</f>
        <v>1009.15321280541</v>
      </c>
      <c r="D19" s="24" t="n">
        <f aca="false">C19*3</f>
        <v>3027.45963841623</v>
      </c>
      <c r="E19" s="24" t="n">
        <f aca="false">C19+D19</f>
        <v>4036.61285122165</v>
      </c>
      <c r="F19" s="24" t="n">
        <f aca="false">C19*12</f>
        <v>12109.8385536649</v>
      </c>
      <c r="G19" s="24" t="n">
        <f aca="false">F19*3</f>
        <v>36329.5156609948</v>
      </c>
      <c r="H19" s="24" t="n">
        <f aca="false">F19+G19</f>
        <v>48439.3542146598</v>
      </c>
      <c r="I19" s="36" t="n">
        <f aca="false">F19/$E$7</f>
        <v>0.0374979082315908</v>
      </c>
    </row>
    <row r="20" customFormat="false" ht="16.5" hidden="false" customHeight="true" outlineLevel="0" collapsed="false">
      <c r="B20" s="22" t="str">
        <f aca="false">'Base Blumenau'!B16</f>
        <v>CEDOCPREV BLUMENAU</v>
      </c>
      <c r="C20" s="24" t="n">
        <f aca="false">'Base Blumenau'!AO16</f>
        <v>937.823135404148</v>
      </c>
      <c r="D20" s="24" t="n">
        <f aca="false">C20*3</f>
        <v>2813.46940621244</v>
      </c>
      <c r="E20" s="24" t="n">
        <f aca="false">C20+D20</f>
        <v>3751.29254161659</v>
      </c>
      <c r="F20" s="24" t="n">
        <f aca="false">C20*12</f>
        <v>11253.8776248498</v>
      </c>
      <c r="G20" s="24" t="n">
        <f aca="false">F20*3</f>
        <v>33761.6328745493</v>
      </c>
      <c r="H20" s="24" t="n">
        <f aca="false">F20+G20</f>
        <v>45015.5104993991</v>
      </c>
      <c r="I20" s="36" t="n">
        <f aca="false">F20/$E$7</f>
        <v>0.034847439836302</v>
      </c>
    </row>
    <row r="21" customFormat="false" ht="16.5" hidden="false" customHeight="true" outlineLevel="0" collapsed="false">
      <c r="B21" s="22" t="str">
        <f aca="false">'Base Blumenau'!B17</f>
        <v>GEX/APS BLUMENAU</v>
      </c>
      <c r="C21" s="24" t="n">
        <f aca="false">'Base Blumenau'!AO17</f>
        <v>1432.20044816954</v>
      </c>
      <c r="D21" s="24" t="n">
        <f aca="false">C21*3</f>
        <v>4296.60134450862</v>
      </c>
      <c r="E21" s="24" t="n">
        <f aca="false">C21+D21</f>
        <v>5728.80179267816</v>
      </c>
      <c r="F21" s="24" t="n">
        <f aca="false">C21*12</f>
        <v>17186.4053780345</v>
      </c>
      <c r="G21" s="24" t="n">
        <f aca="false">F21*3</f>
        <v>51559.2161341034</v>
      </c>
      <c r="H21" s="24" t="n">
        <f aca="false">F21+G21</f>
        <v>68745.6215121379</v>
      </c>
      <c r="I21" s="36" t="n">
        <f aca="false">F21/$E$7</f>
        <v>0.0532174106897087</v>
      </c>
    </row>
    <row r="22" customFormat="false" ht="22.5" hidden="false" customHeight="true" outlineLevel="0" collapsed="false">
      <c r="B22" s="37" t="str">
        <f aca="false">"Total Base "&amp;B5</f>
        <v>Total Base BLUMENAU</v>
      </c>
      <c r="C22" s="37" t="n">
        <f aca="false">SUM(C11:C21)</f>
        <v>13733.3033199558</v>
      </c>
      <c r="D22" s="37" t="n">
        <f aca="false">SUM(D11:D21)</f>
        <v>41199.9099598674</v>
      </c>
      <c r="E22" s="37" t="n">
        <f aca="false">SUM(E11:E21)</f>
        <v>54933.2132798232</v>
      </c>
      <c r="F22" s="37" t="n">
        <f aca="false">SUM(F11:F21)</f>
        <v>164799.639839469</v>
      </c>
      <c r="G22" s="37" t="n">
        <f aca="false">SUM(G11:G21)</f>
        <v>494398.919518408</v>
      </c>
      <c r="H22" s="37" t="n">
        <f aca="false">SUM(H11:H21)</f>
        <v>659198.559357878</v>
      </c>
      <c r="I22" s="38" t="n">
        <f aca="false">SUM(I11:I21)</f>
        <v>0.510299269797401</v>
      </c>
    </row>
    <row r="23" customFormat="false" ht="22.5" hidden="false" customHeight="true" outlineLevel="0" collapsed="false">
      <c r="B23" s="39"/>
      <c r="C23" s="39"/>
      <c r="D23" s="39"/>
      <c r="E23" s="39"/>
      <c r="F23" s="39"/>
      <c r="G23" s="39"/>
      <c r="H23" s="39"/>
      <c r="I23" s="40"/>
    </row>
    <row r="24" customFormat="false" ht="27.75" hidden="false" customHeight="true" outlineLevel="0" collapsed="false">
      <c r="A24" s="29"/>
      <c r="B24" s="30" t="str">
        <f aca="false">"BASE "&amp;B6</f>
        <v>BASE JOINVILLE</v>
      </c>
      <c r="C24" s="31" t="s">
        <v>23</v>
      </c>
      <c r="D24" s="31"/>
      <c r="E24" s="31"/>
      <c r="F24" s="31" t="s">
        <v>24</v>
      </c>
      <c r="G24" s="31"/>
      <c r="H24" s="31"/>
      <c r="I24" s="32" t="s">
        <v>25</v>
      </c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  <c r="FY24" s="29"/>
      <c r="FZ24" s="29"/>
      <c r="GA24" s="29"/>
      <c r="GB24" s="29"/>
      <c r="GC24" s="29"/>
      <c r="GD24" s="29"/>
      <c r="GE24" s="29"/>
      <c r="GF24" s="29"/>
      <c r="GG24" s="29"/>
      <c r="GH24" s="29"/>
      <c r="GI24" s="29"/>
      <c r="GJ24" s="29"/>
      <c r="GK24" s="29"/>
      <c r="GL24" s="29"/>
      <c r="GM24" s="29"/>
      <c r="GN24" s="29"/>
      <c r="GO24" s="29"/>
      <c r="GP24" s="29"/>
      <c r="GQ24" s="29"/>
      <c r="GR24" s="29"/>
      <c r="GS24" s="29"/>
      <c r="GT24" s="29"/>
      <c r="GU24" s="29"/>
      <c r="GV24" s="29"/>
      <c r="GW24" s="29"/>
      <c r="GX24" s="29"/>
      <c r="GY24" s="29"/>
      <c r="GZ24" s="29"/>
      <c r="HA24" s="29"/>
      <c r="HB24" s="29"/>
      <c r="HC24" s="29"/>
      <c r="HD24" s="29"/>
      <c r="HE24" s="29"/>
      <c r="HF24" s="29"/>
      <c r="HG24" s="29"/>
      <c r="HH24" s="29"/>
      <c r="HI24" s="29"/>
      <c r="HJ24" s="29"/>
      <c r="HK24" s="29"/>
      <c r="HL24" s="29"/>
      <c r="HM24" s="29"/>
      <c r="HN24" s="29"/>
      <c r="HO24" s="29"/>
      <c r="HP24" s="29"/>
      <c r="HQ24" s="29"/>
      <c r="HR24" s="29"/>
      <c r="HS24" s="29"/>
      <c r="HT24" s="29"/>
      <c r="HU24" s="29"/>
      <c r="HV24" s="29"/>
      <c r="HW24" s="29"/>
      <c r="HX24" s="29"/>
      <c r="HY24" s="29"/>
      <c r="HZ24" s="29"/>
      <c r="IA24" s="29"/>
      <c r="IB24" s="29"/>
      <c r="IC24" s="29"/>
      <c r="ID24" s="29"/>
      <c r="IE24" s="29"/>
      <c r="IF24" s="29"/>
      <c r="IG24" s="29"/>
      <c r="IH24" s="29"/>
      <c r="II24" s="29"/>
      <c r="IJ24" s="29"/>
      <c r="IK24" s="29"/>
      <c r="IL24" s="29"/>
      <c r="IM24" s="29"/>
      <c r="IN24" s="29"/>
      <c r="IO24" s="29"/>
      <c r="IP24" s="33"/>
      <c r="IQ24" s="29"/>
      <c r="IR24" s="29"/>
      <c r="IS24" s="29"/>
      <c r="IT24" s="29"/>
      <c r="IU24" s="29"/>
      <c r="IV24" s="29"/>
      <c r="IW24" s="29"/>
      <c r="IX24" s="29"/>
      <c r="IY24" s="29"/>
      <c r="IZ24" s="29"/>
      <c r="JA24" s="29"/>
      <c r="JB24" s="29"/>
      <c r="JC24" s="29"/>
      <c r="JD24" s="29"/>
      <c r="JE24" s="29"/>
      <c r="JF24" s="29"/>
      <c r="JG24" s="29"/>
      <c r="JH24" s="29"/>
      <c r="JI24" s="29"/>
      <c r="JJ24" s="29"/>
      <c r="JK24" s="29"/>
      <c r="JL24" s="29"/>
      <c r="JM24" s="29"/>
      <c r="JN24" s="29"/>
      <c r="JO24" s="29"/>
      <c r="JP24" s="29"/>
      <c r="JQ24" s="29"/>
      <c r="JR24" s="29"/>
      <c r="JS24" s="29"/>
      <c r="JT24" s="29"/>
      <c r="JU24" s="29"/>
      <c r="JV24" s="29"/>
      <c r="JW24" s="29"/>
      <c r="JX24" s="29"/>
      <c r="JY24" s="29"/>
      <c r="JZ24" s="29"/>
      <c r="KA24" s="29"/>
      <c r="KB24" s="29"/>
      <c r="KC24" s="29"/>
      <c r="KD24" s="29"/>
      <c r="KE24" s="29"/>
      <c r="KF24" s="29"/>
      <c r="KG24" s="29"/>
      <c r="KH24" s="29"/>
      <c r="KI24" s="29"/>
      <c r="KJ24" s="29"/>
      <c r="KK24" s="29"/>
      <c r="KL24" s="29"/>
      <c r="KM24" s="29"/>
      <c r="KN24" s="29"/>
      <c r="KO24" s="29"/>
      <c r="KP24" s="29"/>
      <c r="KQ24" s="29"/>
      <c r="KR24" s="29"/>
      <c r="KS24" s="29"/>
      <c r="KT24" s="29"/>
      <c r="KU24" s="29"/>
      <c r="KV24" s="29"/>
      <c r="KW24" s="29"/>
      <c r="KX24" s="29"/>
      <c r="KY24" s="29"/>
      <c r="KZ24" s="29"/>
      <c r="LA24" s="29"/>
      <c r="LB24" s="29"/>
      <c r="LC24" s="29"/>
      <c r="LD24" s="29"/>
      <c r="LE24" s="29"/>
      <c r="LF24" s="29"/>
      <c r="LG24" s="29"/>
      <c r="LH24" s="29"/>
      <c r="LI24" s="29"/>
      <c r="LJ24" s="29"/>
      <c r="LK24" s="29"/>
      <c r="LL24" s="29"/>
      <c r="LM24" s="29"/>
      <c r="LN24" s="29"/>
      <c r="LO24" s="29"/>
      <c r="LP24" s="29"/>
      <c r="LQ24" s="29"/>
      <c r="LR24" s="29"/>
      <c r="LS24" s="29"/>
      <c r="LT24" s="29"/>
      <c r="LU24" s="29"/>
      <c r="LV24" s="29"/>
      <c r="LW24" s="29"/>
      <c r="LX24" s="29"/>
      <c r="LY24" s="29"/>
      <c r="LZ24" s="29"/>
      <c r="MA24" s="29"/>
      <c r="MB24" s="29"/>
      <c r="MC24" s="29"/>
      <c r="MD24" s="29"/>
      <c r="ME24" s="29"/>
      <c r="MF24" s="29"/>
      <c r="MG24" s="29"/>
      <c r="MH24" s="29"/>
      <c r="MI24" s="29"/>
      <c r="MJ24" s="29"/>
      <c r="MK24" s="29"/>
      <c r="ML24" s="29"/>
      <c r="MM24" s="29"/>
      <c r="MN24" s="29"/>
      <c r="MO24" s="29"/>
      <c r="MP24" s="29"/>
      <c r="MQ24" s="29"/>
      <c r="MR24" s="29"/>
      <c r="MS24" s="29"/>
      <c r="MT24" s="29"/>
      <c r="MU24" s="29"/>
      <c r="MV24" s="29"/>
      <c r="MW24" s="29"/>
      <c r="MX24" s="29"/>
      <c r="MY24" s="29"/>
      <c r="MZ24" s="29"/>
      <c r="NA24" s="29"/>
      <c r="NB24" s="29"/>
      <c r="NC24" s="29"/>
      <c r="ND24" s="29"/>
      <c r="NE24" s="29"/>
      <c r="NF24" s="29"/>
      <c r="NG24" s="29"/>
      <c r="NH24" s="29"/>
      <c r="NI24" s="29"/>
      <c r="NJ24" s="29"/>
      <c r="NK24" s="29"/>
      <c r="NL24" s="29"/>
      <c r="NM24" s="29"/>
      <c r="NN24" s="29"/>
      <c r="NO24" s="29"/>
      <c r="NP24" s="29"/>
      <c r="NQ24" s="29"/>
      <c r="NR24" s="29"/>
      <c r="NS24" s="29"/>
      <c r="NT24" s="29"/>
      <c r="NU24" s="29"/>
      <c r="NV24" s="29"/>
      <c r="NW24" s="29"/>
      <c r="NX24" s="29"/>
      <c r="NY24" s="29"/>
      <c r="NZ24" s="29"/>
      <c r="OA24" s="29"/>
      <c r="OB24" s="29"/>
      <c r="OC24" s="29"/>
      <c r="OD24" s="29"/>
      <c r="OE24" s="29"/>
      <c r="OF24" s="29"/>
      <c r="OG24" s="29"/>
      <c r="OH24" s="29"/>
      <c r="OI24" s="29"/>
      <c r="OJ24" s="29"/>
      <c r="OK24" s="29"/>
      <c r="OL24" s="29"/>
      <c r="OM24" s="29"/>
      <c r="ON24" s="29"/>
      <c r="OO24" s="29"/>
      <c r="OP24" s="29"/>
      <c r="OQ24" s="29"/>
      <c r="OR24" s="29"/>
      <c r="OS24" s="29"/>
      <c r="OT24" s="29"/>
      <c r="OU24" s="29"/>
      <c r="OV24" s="29"/>
      <c r="OW24" s="29"/>
      <c r="OX24" s="29"/>
      <c r="OY24" s="29"/>
      <c r="OZ24" s="29"/>
      <c r="PA24" s="29"/>
      <c r="PB24" s="29"/>
      <c r="PC24" s="29"/>
      <c r="PD24" s="29"/>
      <c r="PE24" s="29"/>
      <c r="PF24" s="29"/>
      <c r="PG24" s="29"/>
      <c r="PH24" s="29"/>
      <c r="PI24" s="29"/>
      <c r="PJ24" s="29"/>
      <c r="PK24" s="29"/>
      <c r="PL24" s="29"/>
      <c r="PM24" s="29"/>
      <c r="PN24" s="29"/>
      <c r="PO24" s="29"/>
      <c r="PP24" s="29"/>
      <c r="PQ24" s="29"/>
      <c r="PR24" s="29"/>
      <c r="PS24" s="29"/>
      <c r="PT24" s="29"/>
      <c r="PU24" s="29"/>
      <c r="PV24" s="29"/>
      <c r="PW24" s="29"/>
      <c r="PX24" s="29"/>
      <c r="PY24" s="29"/>
      <c r="PZ24" s="29"/>
      <c r="QA24" s="29"/>
      <c r="QB24" s="29"/>
      <c r="QC24" s="29"/>
      <c r="QD24" s="29"/>
      <c r="QE24" s="29"/>
      <c r="QF24" s="29"/>
      <c r="QG24" s="29"/>
      <c r="QH24" s="29"/>
      <c r="QI24" s="29"/>
      <c r="QJ24" s="29"/>
      <c r="QK24" s="29"/>
      <c r="QL24" s="29"/>
      <c r="QM24" s="29"/>
      <c r="QN24" s="29"/>
      <c r="QO24" s="29"/>
      <c r="QP24" s="29"/>
      <c r="QQ24" s="29"/>
      <c r="QR24" s="29"/>
      <c r="QS24" s="29"/>
      <c r="QT24" s="29"/>
      <c r="QU24" s="29"/>
      <c r="QV24" s="29"/>
      <c r="QW24" s="29"/>
      <c r="QX24" s="29"/>
      <c r="QY24" s="29"/>
      <c r="QZ24" s="29"/>
      <c r="RA24" s="29"/>
      <c r="RB24" s="29"/>
      <c r="RC24" s="29"/>
      <c r="RD24" s="29"/>
      <c r="RE24" s="29"/>
      <c r="RF24" s="29"/>
      <c r="RG24" s="29"/>
      <c r="RH24" s="29"/>
      <c r="RI24" s="29"/>
      <c r="RJ24" s="29"/>
      <c r="RK24" s="29"/>
      <c r="RL24" s="29"/>
      <c r="RM24" s="29"/>
      <c r="RN24" s="29"/>
      <c r="RO24" s="29"/>
      <c r="RP24" s="29"/>
      <c r="RQ24" s="29"/>
      <c r="RR24" s="29"/>
      <c r="RS24" s="29"/>
      <c r="RT24" s="29"/>
      <c r="RU24" s="29"/>
      <c r="RV24" s="29"/>
      <c r="RW24" s="29"/>
      <c r="RX24" s="29"/>
      <c r="RY24" s="29"/>
      <c r="RZ24" s="29"/>
      <c r="SA24" s="29"/>
      <c r="SB24" s="29"/>
      <c r="SC24" s="29"/>
      <c r="SD24" s="29"/>
      <c r="SE24" s="29"/>
      <c r="SF24" s="29"/>
      <c r="SG24" s="29"/>
      <c r="SH24" s="29"/>
      <c r="SI24" s="29"/>
      <c r="SJ24" s="29"/>
      <c r="SK24" s="29"/>
      <c r="SL24" s="29"/>
      <c r="SM24" s="29"/>
      <c r="SN24" s="29"/>
      <c r="SO24" s="29"/>
      <c r="SP24" s="29"/>
      <c r="SQ24" s="29"/>
      <c r="SR24" s="29"/>
      <c r="SS24" s="29"/>
      <c r="ST24" s="29"/>
      <c r="SU24" s="29"/>
      <c r="SV24" s="29"/>
      <c r="SW24" s="29"/>
      <c r="SX24" s="29"/>
      <c r="SY24" s="29"/>
      <c r="SZ24" s="29"/>
      <c r="TA24" s="29"/>
      <c r="TB24" s="29"/>
      <c r="TC24" s="29"/>
      <c r="TD24" s="29"/>
      <c r="TE24" s="29"/>
      <c r="TF24" s="29"/>
      <c r="TG24" s="29"/>
      <c r="TH24" s="29"/>
      <c r="TI24" s="29"/>
      <c r="TJ24" s="29"/>
      <c r="TK24" s="29"/>
      <c r="TL24" s="29"/>
      <c r="TM24" s="29"/>
      <c r="TN24" s="29"/>
      <c r="TO24" s="29"/>
      <c r="TP24" s="29"/>
      <c r="TQ24" s="29"/>
      <c r="TR24" s="29"/>
      <c r="TS24" s="29"/>
      <c r="TT24" s="29"/>
      <c r="TU24" s="29"/>
      <c r="TV24" s="29"/>
      <c r="TW24" s="29"/>
      <c r="TX24" s="29"/>
      <c r="TY24" s="29"/>
      <c r="TZ24" s="29"/>
      <c r="UA24" s="29"/>
      <c r="UB24" s="29"/>
      <c r="UC24" s="29"/>
      <c r="UD24" s="29"/>
      <c r="UE24" s="29"/>
      <c r="UF24" s="29"/>
      <c r="UG24" s="29"/>
      <c r="UH24" s="29"/>
      <c r="UI24" s="29"/>
      <c r="UJ24" s="29"/>
      <c r="UK24" s="29"/>
      <c r="UL24" s="29"/>
      <c r="UM24" s="29"/>
      <c r="UN24" s="29"/>
      <c r="UO24" s="29"/>
      <c r="UP24" s="29"/>
      <c r="UQ24" s="29"/>
      <c r="UR24" s="29"/>
      <c r="US24" s="29"/>
      <c r="UT24" s="29"/>
      <c r="UU24" s="29"/>
      <c r="UV24" s="29"/>
      <c r="UW24" s="29"/>
      <c r="UX24" s="29"/>
      <c r="UY24" s="29"/>
      <c r="UZ24" s="29"/>
      <c r="VA24" s="29"/>
      <c r="VB24" s="29"/>
      <c r="VC24" s="29"/>
      <c r="VD24" s="29"/>
      <c r="VE24" s="29"/>
      <c r="VF24" s="29"/>
      <c r="VG24" s="29"/>
      <c r="VH24" s="29"/>
      <c r="VI24" s="29"/>
      <c r="VJ24" s="29"/>
      <c r="VK24" s="29"/>
      <c r="VL24" s="29"/>
      <c r="VM24" s="29"/>
      <c r="VN24" s="29"/>
      <c r="VO24" s="29"/>
      <c r="VP24" s="29"/>
      <c r="VQ24" s="29"/>
      <c r="VR24" s="29"/>
      <c r="VS24" s="29"/>
      <c r="VT24" s="29"/>
      <c r="VU24" s="29"/>
      <c r="VV24" s="29"/>
      <c r="VW24" s="29"/>
      <c r="VX24" s="29"/>
      <c r="VY24" s="29"/>
      <c r="VZ24" s="29"/>
      <c r="WA24" s="29"/>
      <c r="WB24" s="29"/>
      <c r="WC24" s="29"/>
      <c r="WD24" s="29"/>
      <c r="WE24" s="29"/>
      <c r="WF24" s="29"/>
      <c r="WG24" s="29"/>
      <c r="WH24" s="29"/>
      <c r="WI24" s="29"/>
      <c r="WJ24" s="29"/>
      <c r="WK24" s="29"/>
      <c r="WL24" s="29"/>
      <c r="WM24" s="29"/>
      <c r="WN24" s="29"/>
      <c r="WO24" s="29"/>
      <c r="WP24" s="29"/>
      <c r="WQ24" s="29"/>
      <c r="WR24" s="29"/>
      <c r="WS24" s="29"/>
      <c r="WT24" s="29"/>
      <c r="WU24" s="29"/>
      <c r="WV24" s="29"/>
      <c r="WW24" s="29"/>
      <c r="WX24" s="29"/>
      <c r="WY24" s="29"/>
      <c r="WZ24" s="29"/>
      <c r="XA24" s="29"/>
      <c r="XB24" s="29"/>
      <c r="XC24" s="29"/>
      <c r="XD24" s="29"/>
      <c r="XE24" s="29"/>
      <c r="XF24" s="29"/>
      <c r="XG24" s="29"/>
      <c r="XH24" s="29"/>
      <c r="XI24" s="29"/>
      <c r="XJ24" s="29"/>
      <c r="XK24" s="29"/>
      <c r="XL24" s="29"/>
      <c r="XM24" s="29"/>
      <c r="XN24" s="29"/>
      <c r="XO24" s="29"/>
      <c r="XP24" s="29"/>
      <c r="XQ24" s="29"/>
      <c r="XR24" s="29"/>
      <c r="XS24" s="29"/>
      <c r="XT24" s="29"/>
      <c r="XU24" s="29"/>
      <c r="XV24" s="29"/>
      <c r="XW24" s="29"/>
      <c r="XX24" s="29"/>
      <c r="XY24" s="29"/>
      <c r="XZ24" s="29"/>
      <c r="YA24" s="29"/>
      <c r="YB24" s="29"/>
      <c r="YC24" s="29"/>
      <c r="YD24" s="29"/>
      <c r="YE24" s="29"/>
      <c r="YF24" s="29"/>
      <c r="YG24" s="29"/>
      <c r="YH24" s="29"/>
      <c r="YI24" s="29"/>
      <c r="YJ24" s="29"/>
      <c r="YK24" s="29"/>
      <c r="YL24" s="29"/>
      <c r="YM24" s="29"/>
      <c r="YN24" s="29"/>
      <c r="YO24" s="29"/>
      <c r="YP24" s="29"/>
      <c r="YQ24" s="29"/>
      <c r="YR24" s="29"/>
      <c r="YS24" s="29"/>
      <c r="YT24" s="29"/>
      <c r="YU24" s="29"/>
      <c r="YV24" s="29"/>
      <c r="YW24" s="29"/>
      <c r="YX24" s="29"/>
      <c r="YY24" s="29"/>
      <c r="YZ24" s="29"/>
      <c r="ZA24" s="29"/>
      <c r="ZB24" s="29"/>
      <c r="ZC24" s="29"/>
      <c r="ZD24" s="29"/>
      <c r="ZE24" s="29"/>
      <c r="ZF24" s="29"/>
      <c r="ZG24" s="29"/>
      <c r="ZH24" s="29"/>
      <c r="ZI24" s="29"/>
      <c r="ZJ24" s="29"/>
      <c r="ZK24" s="29"/>
      <c r="ZL24" s="29"/>
      <c r="ZM24" s="29"/>
      <c r="ZN24" s="29"/>
      <c r="ZO24" s="29"/>
      <c r="ZP24" s="29"/>
      <c r="ZQ24" s="29"/>
      <c r="ZR24" s="29"/>
      <c r="ZS24" s="29"/>
      <c r="ZT24" s="29"/>
      <c r="ZU24" s="29"/>
      <c r="ZV24" s="29"/>
      <c r="ZW24" s="29"/>
      <c r="ZX24" s="29"/>
      <c r="ZY24" s="29"/>
      <c r="ZZ24" s="29"/>
      <c r="AAA24" s="29"/>
      <c r="AAB24" s="29"/>
      <c r="AAC24" s="29"/>
      <c r="AAD24" s="29"/>
      <c r="AAE24" s="29"/>
      <c r="AAF24" s="29"/>
      <c r="AAG24" s="29"/>
      <c r="AAH24" s="29"/>
      <c r="AAI24" s="29"/>
      <c r="AAJ24" s="29"/>
      <c r="AAK24" s="29"/>
      <c r="AAL24" s="29"/>
      <c r="AAM24" s="29"/>
      <c r="AAN24" s="29"/>
      <c r="AAO24" s="29"/>
      <c r="AAP24" s="29"/>
      <c r="AAQ24" s="29"/>
      <c r="AAR24" s="29"/>
      <c r="AAS24" s="29"/>
      <c r="AAT24" s="29"/>
      <c r="AAU24" s="29"/>
      <c r="AAV24" s="29"/>
      <c r="AAW24" s="29"/>
      <c r="AAX24" s="29"/>
      <c r="AAY24" s="29"/>
      <c r="AAZ24" s="29"/>
      <c r="ABA24" s="29"/>
      <c r="ABB24" s="29"/>
      <c r="ABC24" s="29"/>
      <c r="ABD24" s="29"/>
      <c r="ABE24" s="29"/>
      <c r="ABF24" s="29"/>
      <c r="ABG24" s="29"/>
      <c r="ABH24" s="29"/>
      <c r="ABI24" s="29"/>
      <c r="ABJ24" s="29"/>
      <c r="ABK24" s="29"/>
      <c r="ABL24" s="29"/>
      <c r="ABM24" s="29"/>
      <c r="ABN24" s="29"/>
      <c r="ABO24" s="29"/>
      <c r="ABP24" s="29"/>
      <c r="ABQ24" s="29"/>
      <c r="ABR24" s="29"/>
      <c r="ABS24" s="29"/>
      <c r="ABT24" s="29"/>
      <c r="ABU24" s="29"/>
      <c r="ABV24" s="29"/>
      <c r="ABW24" s="29"/>
      <c r="ABX24" s="29"/>
      <c r="ABY24" s="29"/>
      <c r="ABZ24" s="29"/>
      <c r="ACA24" s="29"/>
      <c r="ACB24" s="29"/>
      <c r="ACC24" s="29"/>
      <c r="ACD24" s="29"/>
      <c r="ACE24" s="29"/>
      <c r="ACF24" s="29"/>
      <c r="ACG24" s="29"/>
      <c r="ACH24" s="29"/>
      <c r="ACI24" s="29"/>
      <c r="ACJ24" s="29"/>
      <c r="ACK24" s="29"/>
      <c r="ACL24" s="29"/>
      <c r="ACM24" s="29"/>
      <c r="ACN24" s="29"/>
      <c r="ACO24" s="29"/>
      <c r="ACP24" s="29"/>
      <c r="ACQ24" s="29"/>
      <c r="ACR24" s="29"/>
      <c r="ACS24" s="29"/>
      <c r="ACT24" s="29"/>
      <c r="ACU24" s="29"/>
      <c r="ACV24" s="29"/>
      <c r="ACW24" s="29"/>
      <c r="ACX24" s="29"/>
      <c r="ACY24" s="29"/>
      <c r="ACZ24" s="29"/>
      <c r="ADA24" s="29"/>
      <c r="ADB24" s="29"/>
      <c r="ADC24" s="29"/>
      <c r="ADD24" s="29"/>
      <c r="ADE24" s="29"/>
      <c r="ADF24" s="29"/>
      <c r="ADG24" s="29"/>
      <c r="ADH24" s="29"/>
      <c r="ADI24" s="29"/>
      <c r="ADJ24" s="29"/>
      <c r="ADK24" s="29"/>
      <c r="ADL24" s="29"/>
      <c r="ADM24" s="29"/>
      <c r="ADN24" s="29"/>
      <c r="ADO24" s="29"/>
      <c r="ADP24" s="29"/>
      <c r="ADQ24" s="29"/>
      <c r="ADR24" s="29"/>
      <c r="ADS24" s="29"/>
      <c r="ADT24" s="29"/>
      <c r="ADU24" s="29"/>
      <c r="ADV24" s="29"/>
      <c r="ADW24" s="29"/>
      <c r="ADX24" s="29"/>
      <c r="ADY24" s="29"/>
      <c r="ADZ24" s="29"/>
      <c r="AEA24" s="29"/>
      <c r="AEB24" s="29"/>
      <c r="AEC24" s="29"/>
      <c r="AED24" s="29"/>
      <c r="AEE24" s="29"/>
      <c r="AEF24" s="29"/>
      <c r="AEG24" s="29"/>
      <c r="AEH24" s="29"/>
      <c r="AEI24" s="29"/>
      <c r="AEJ24" s="29"/>
      <c r="AEK24" s="29"/>
      <c r="AEL24" s="29"/>
      <c r="AEM24" s="29"/>
      <c r="AEN24" s="29"/>
      <c r="AEO24" s="29"/>
      <c r="AEP24" s="29"/>
      <c r="AEQ24" s="29"/>
      <c r="AER24" s="29"/>
      <c r="AES24" s="29"/>
      <c r="AET24" s="29"/>
      <c r="AEU24" s="29"/>
      <c r="AEV24" s="29"/>
      <c r="AEW24" s="29"/>
      <c r="AEX24" s="29"/>
      <c r="AEY24" s="29"/>
      <c r="AEZ24" s="29"/>
      <c r="AFA24" s="29"/>
      <c r="AFB24" s="29"/>
      <c r="AFC24" s="29"/>
      <c r="AFD24" s="29"/>
      <c r="AFE24" s="29"/>
      <c r="AFF24" s="29"/>
      <c r="AFG24" s="29"/>
      <c r="AFH24" s="29"/>
      <c r="AFI24" s="29"/>
      <c r="AFJ24" s="29"/>
      <c r="AFK24" s="29"/>
      <c r="AFL24" s="29"/>
      <c r="AFM24" s="29"/>
      <c r="AFN24" s="29"/>
      <c r="AFO24" s="29"/>
      <c r="AFP24" s="29"/>
      <c r="AFQ24" s="29"/>
      <c r="AFR24" s="29"/>
      <c r="AFS24" s="29"/>
      <c r="AFT24" s="29"/>
      <c r="AFU24" s="29"/>
      <c r="AFV24" s="29"/>
      <c r="AFW24" s="29"/>
      <c r="AFX24" s="29"/>
      <c r="AFY24" s="29"/>
      <c r="AFZ24" s="29"/>
      <c r="AGA24" s="29"/>
      <c r="AGB24" s="29"/>
      <c r="AGC24" s="29"/>
      <c r="AGD24" s="29"/>
      <c r="AGE24" s="29"/>
      <c r="AGF24" s="29"/>
      <c r="AGG24" s="29"/>
      <c r="AGH24" s="29"/>
      <c r="AGI24" s="29"/>
      <c r="AGJ24" s="29"/>
      <c r="AGK24" s="29"/>
      <c r="AGL24" s="29"/>
      <c r="AGM24" s="29"/>
      <c r="AGN24" s="29"/>
      <c r="AGO24" s="29"/>
      <c r="AGP24" s="29"/>
      <c r="AGQ24" s="29"/>
      <c r="AGR24" s="29"/>
      <c r="AGS24" s="29"/>
      <c r="AGT24" s="29"/>
      <c r="AGU24" s="29"/>
      <c r="AGV24" s="29"/>
      <c r="AGW24" s="29"/>
      <c r="AGX24" s="29"/>
      <c r="AGY24" s="29"/>
      <c r="AGZ24" s="29"/>
      <c r="AHA24" s="29"/>
      <c r="AHB24" s="29"/>
      <c r="AHC24" s="29"/>
      <c r="AHD24" s="29"/>
      <c r="AHE24" s="29"/>
      <c r="AHF24" s="29"/>
      <c r="AHG24" s="29"/>
      <c r="AHH24" s="29"/>
      <c r="AHI24" s="29"/>
      <c r="AHJ24" s="29"/>
      <c r="AHK24" s="29"/>
      <c r="AHL24" s="29"/>
      <c r="AHM24" s="29"/>
      <c r="AHN24" s="29"/>
      <c r="AHO24" s="29"/>
      <c r="AHP24" s="29"/>
      <c r="AHQ24" s="29"/>
      <c r="AHR24" s="29"/>
      <c r="AHS24" s="29"/>
      <c r="AHT24" s="29"/>
      <c r="AHU24" s="29"/>
      <c r="AHV24" s="29"/>
      <c r="AHW24" s="29"/>
      <c r="AHX24" s="29"/>
      <c r="AHY24" s="29"/>
      <c r="AHZ24" s="29"/>
      <c r="AIA24" s="29"/>
      <c r="AIB24" s="29"/>
      <c r="AIC24" s="29"/>
      <c r="AID24" s="29"/>
      <c r="AIE24" s="29"/>
      <c r="AIF24" s="29"/>
      <c r="AIG24" s="29"/>
      <c r="AIH24" s="29"/>
      <c r="AII24" s="29"/>
      <c r="AIJ24" s="29"/>
      <c r="AIK24" s="29"/>
      <c r="AIL24" s="29"/>
      <c r="AIM24" s="29"/>
      <c r="AIN24" s="29"/>
      <c r="AIO24" s="29"/>
      <c r="AIP24" s="29"/>
      <c r="AIQ24" s="29"/>
      <c r="AIR24" s="29"/>
      <c r="AIS24" s="29"/>
      <c r="AIT24" s="29"/>
      <c r="AIU24" s="29"/>
      <c r="AIV24" s="29"/>
      <c r="AIW24" s="29"/>
      <c r="AIX24" s="29"/>
      <c r="AIY24" s="29"/>
      <c r="AIZ24" s="29"/>
      <c r="AJA24" s="29"/>
      <c r="AJB24" s="29"/>
      <c r="AJC24" s="29"/>
      <c r="AJD24" s="29"/>
      <c r="AJE24" s="29"/>
      <c r="AJF24" s="29"/>
      <c r="AJG24" s="29"/>
      <c r="AJH24" s="29"/>
      <c r="AJI24" s="29"/>
      <c r="AJJ24" s="29"/>
      <c r="AJK24" s="29"/>
      <c r="AJL24" s="29"/>
      <c r="AJM24" s="29"/>
      <c r="AJN24" s="29"/>
      <c r="AJO24" s="29"/>
      <c r="AJP24" s="29"/>
      <c r="AJQ24" s="29"/>
      <c r="AJR24" s="29"/>
      <c r="AJS24" s="29"/>
      <c r="AJT24" s="29"/>
      <c r="AJU24" s="29"/>
      <c r="AJV24" s="29"/>
      <c r="AJW24" s="29"/>
      <c r="AJX24" s="29"/>
      <c r="AJY24" s="29"/>
      <c r="AJZ24" s="29"/>
      <c r="AKA24" s="29"/>
      <c r="AKB24" s="29"/>
      <c r="AKC24" s="29"/>
      <c r="AKD24" s="29"/>
      <c r="AKE24" s="29"/>
      <c r="AKF24" s="29"/>
      <c r="AKG24" s="29"/>
      <c r="AKH24" s="29"/>
      <c r="AKI24" s="29"/>
      <c r="AKJ24" s="29"/>
      <c r="AKK24" s="29"/>
      <c r="AKL24" s="29"/>
      <c r="AKM24" s="29"/>
      <c r="AKN24" s="29"/>
      <c r="AKO24" s="29"/>
      <c r="AKP24" s="29"/>
      <c r="AKQ24" s="29"/>
      <c r="AKR24" s="29"/>
      <c r="AKS24" s="29"/>
      <c r="AKT24" s="29"/>
      <c r="AKU24" s="29"/>
      <c r="AKV24" s="29"/>
      <c r="AKW24" s="29"/>
      <c r="AKX24" s="29"/>
      <c r="AKY24" s="29"/>
      <c r="AKZ24" s="29"/>
      <c r="ALA24" s="29"/>
      <c r="ALB24" s="29"/>
      <c r="ALC24" s="29"/>
      <c r="ALD24" s="29"/>
      <c r="ALE24" s="29"/>
      <c r="ALF24" s="29"/>
      <c r="ALG24" s="29"/>
      <c r="ALH24" s="29"/>
      <c r="ALI24" s="29"/>
      <c r="ALJ24" s="29"/>
      <c r="ALK24" s="29"/>
      <c r="ALL24" s="29"/>
      <c r="ALM24" s="29"/>
      <c r="ALN24" s="29"/>
      <c r="ALO24" s="29"/>
      <c r="ALP24" s="29"/>
      <c r="ALQ24" s="29"/>
      <c r="ALR24" s="29"/>
      <c r="ALS24" s="29"/>
      <c r="ALT24" s="29"/>
      <c r="ALU24" s="29"/>
      <c r="ALV24" s="29"/>
      <c r="ALW24" s="29"/>
      <c r="ALX24" s="29"/>
      <c r="ALY24" s="29"/>
      <c r="ALZ24" s="29"/>
      <c r="AMA24" s="29"/>
      <c r="AMB24" s="29"/>
      <c r="AMC24" s="29"/>
      <c r="AMD24" s="29"/>
      <c r="AME24" s="29"/>
    </row>
    <row r="25" customFormat="false" ht="22.5" hidden="false" customHeight="true" outlineLevel="0" collapsed="false">
      <c r="A25" s="29"/>
      <c r="B25" s="30"/>
      <c r="C25" s="34" t="s">
        <v>26</v>
      </c>
      <c r="D25" s="34" t="s">
        <v>27</v>
      </c>
      <c r="E25" s="34" t="s">
        <v>28</v>
      </c>
      <c r="F25" s="35" t="s">
        <v>26</v>
      </c>
      <c r="G25" s="35" t="s">
        <v>27</v>
      </c>
      <c r="H25" s="35" t="s">
        <v>28</v>
      </c>
      <c r="I25" s="35" t="s">
        <v>29</v>
      </c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  <c r="FY25" s="29"/>
      <c r="FZ25" s="29"/>
      <c r="GA25" s="29"/>
      <c r="GB25" s="29"/>
      <c r="GC25" s="29"/>
      <c r="GD25" s="29"/>
      <c r="GE25" s="29"/>
      <c r="GF25" s="29"/>
      <c r="GG25" s="29"/>
      <c r="GH25" s="29"/>
      <c r="GI25" s="29"/>
      <c r="GJ25" s="29"/>
      <c r="GK25" s="29"/>
      <c r="GL25" s="29"/>
      <c r="GM25" s="29"/>
      <c r="GN25" s="29"/>
      <c r="GO25" s="29"/>
      <c r="GP25" s="29"/>
      <c r="GQ25" s="29"/>
      <c r="GR25" s="29"/>
      <c r="GS25" s="29"/>
      <c r="GT25" s="29"/>
      <c r="GU25" s="29"/>
      <c r="GV25" s="29"/>
      <c r="GW25" s="29"/>
      <c r="GX25" s="29"/>
      <c r="GY25" s="29"/>
      <c r="GZ25" s="29"/>
      <c r="HA25" s="29"/>
      <c r="HB25" s="29"/>
      <c r="HC25" s="29"/>
      <c r="HD25" s="29"/>
      <c r="HE25" s="29"/>
      <c r="HF25" s="29"/>
      <c r="HG25" s="29"/>
      <c r="HH25" s="29"/>
      <c r="HI25" s="29"/>
      <c r="HJ25" s="29"/>
      <c r="HK25" s="29"/>
      <c r="HL25" s="29"/>
      <c r="HM25" s="29"/>
      <c r="HN25" s="29"/>
      <c r="HO25" s="29"/>
      <c r="HP25" s="29"/>
      <c r="HQ25" s="29"/>
      <c r="HR25" s="29"/>
      <c r="HS25" s="29"/>
      <c r="HT25" s="29"/>
      <c r="HU25" s="29"/>
      <c r="HV25" s="29"/>
      <c r="HW25" s="29"/>
      <c r="HX25" s="29"/>
      <c r="HY25" s="29"/>
      <c r="HZ25" s="29"/>
      <c r="IA25" s="29"/>
      <c r="IB25" s="29"/>
      <c r="IC25" s="29"/>
      <c r="ID25" s="29"/>
      <c r="IE25" s="29"/>
      <c r="IF25" s="29"/>
      <c r="IG25" s="29"/>
      <c r="IH25" s="29"/>
      <c r="II25" s="29"/>
      <c r="IJ25" s="29"/>
      <c r="IK25" s="29"/>
      <c r="IL25" s="29"/>
      <c r="IM25" s="29"/>
      <c r="IN25" s="29"/>
      <c r="IO25" s="29"/>
      <c r="IP25" s="33"/>
      <c r="IQ25" s="29"/>
      <c r="IR25" s="29"/>
      <c r="IS25" s="29"/>
      <c r="IT25" s="29"/>
      <c r="IU25" s="29"/>
      <c r="IV25" s="29"/>
      <c r="IW25" s="29"/>
      <c r="IX25" s="29"/>
      <c r="IY25" s="29"/>
      <c r="IZ25" s="29"/>
      <c r="JA25" s="29"/>
      <c r="JB25" s="29"/>
      <c r="JC25" s="29"/>
      <c r="JD25" s="29"/>
      <c r="JE25" s="29"/>
      <c r="JF25" s="29"/>
      <c r="JG25" s="29"/>
      <c r="JH25" s="29"/>
      <c r="JI25" s="29"/>
      <c r="JJ25" s="29"/>
      <c r="JK25" s="29"/>
      <c r="JL25" s="29"/>
      <c r="JM25" s="29"/>
      <c r="JN25" s="29"/>
      <c r="JO25" s="29"/>
      <c r="JP25" s="29"/>
      <c r="JQ25" s="29"/>
      <c r="JR25" s="29"/>
      <c r="JS25" s="29"/>
      <c r="JT25" s="29"/>
      <c r="JU25" s="29"/>
      <c r="JV25" s="29"/>
      <c r="JW25" s="29"/>
      <c r="JX25" s="29"/>
      <c r="JY25" s="29"/>
      <c r="JZ25" s="29"/>
      <c r="KA25" s="29"/>
      <c r="KB25" s="29"/>
      <c r="KC25" s="29"/>
      <c r="KD25" s="29"/>
      <c r="KE25" s="29"/>
      <c r="KF25" s="29"/>
      <c r="KG25" s="29"/>
      <c r="KH25" s="29"/>
      <c r="KI25" s="29"/>
      <c r="KJ25" s="29"/>
      <c r="KK25" s="29"/>
      <c r="KL25" s="29"/>
      <c r="KM25" s="29"/>
      <c r="KN25" s="29"/>
      <c r="KO25" s="29"/>
      <c r="KP25" s="29"/>
      <c r="KQ25" s="29"/>
      <c r="KR25" s="29"/>
      <c r="KS25" s="29"/>
      <c r="KT25" s="29"/>
      <c r="KU25" s="29"/>
      <c r="KV25" s="29"/>
      <c r="KW25" s="29"/>
      <c r="KX25" s="29"/>
      <c r="KY25" s="29"/>
      <c r="KZ25" s="29"/>
      <c r="LA25" s="29"/>
      <c r="LB25" s="29"/>
      <c r="LC25" s="29"/>
      <c r="LD25" s="29"/>
      <c r="LE25" s="29"/>
      <c r="LF25" s="29"/>
      <c r="LG25" s="29"/>
      <c r="LH25" s="29"/>
      <c r="LI25" s="29"/>
      <c r="LJ25" s="29"/>
      <c r="LK25" s="29"/>
      <c r="LL25" s="29"/>
      <c r="LM25" s="29"/>
      <c r="LN25" s="29"/>
      <c r="LO25" s="29"/>
      <c r="LP25" s="29"/>
      <c r="LQ25" s="29"/>
      <c r="LR25" s="29"/>
      <c r="LS25" s="29"/>
      <c r="LT25" s="29"/>
      <c r="LU25" s="29"/>
      <c r="LV25" s="29"/>
      <c r="LW25" s="29"/>
      <c r="LX25" s="29"/>
      <c r="LY25" s="29"/>
      <c r="LZ25" s="29"/>
      <c r="MA25" s="29"/>
      <c r="MB25" s="29"/>
      <c r="MC25" s="29"/>
      <c r="MD25" s="29"/>
      <c r="ME25" s="29"/>
      <c r="MF25" s="29"/>
      <c r="MG25" s="29"/>
      <c r="MH25" s="29"/>
      <c r="MI25" s="29"/>
      <c r="MJ25" s="29"/>
      <c r="MK25" s="29"/>
      <c r="ML25" s="29"/>
      <c r="MM25" s="29"/>
      <c r="MN25" s="29"/>
      <c r="MO25" s="29"/>
      <c r="MP25" s="29"/>
      <c r="MQ25" s="29"/>
      <c r="MR25" s="29"/>
      <c r="MS25" s="29"/>
      <c r="MT25" s="29"/>
      <c r="MU25" s="29"/>
      <c r="MV25" s="29"/>
      <c r="MW25" s="29"/>
      <c r="MX25" s="29"/>
      <c r="MY25" s="29"/>
      <c r="MZ25" s="29"/>
      <c r="NA25" s="29"/>
      <c r="NB25" s="29"/>
      <c r="NC25" s="29"/>
      <c r="ND25" s="29"/>
      <c r="NE25" s="29"/>
      <c r="NF25" s="29"/>
      <c r="NG25" s="29"/>
      <c r="NH25" s="29"/>
      <c r="NI25" s="29"/>
      <c r="NJ25" s="29"/>
      <c r="NK25" s="29"/>
      <c r="NL25" s="29"/>
      <c r="NM25" s="29"/>
      <c r="NN25" s="29"/>
      <c r="NO25" s="29"/>
      <c r="NP25" s="29"/>
      <c r="NQ25" s="29"/>
      <c r="NR25" s="29"/>
      <c r="NS25" s="29"/>
      <c r="NT25" s="29"/>
      <c r="NU25" s="29"/>
      <c r="NV25" s="29"/>
      <c r="NW25" s="29"/>
      <c r="NX25" s="29"/>
      <c r="NY25" s="29"/>
      <c r="NZ25" s="29"/>
      <c r="OA25" s="29"/>
      <c r="OB25" s="29"/>
      <c r="OC25" s="29"/>
      <c r="OD25" s="29"/>
      <c r="OE25" s="29"/>
      <c r="OF25" s="29"/>
      <c r="OG25" s="29"/>
      <c r="OH25" s="29"/>
      <c r="OI25" s="29"/>
      <c r="OJ25" s="29"/>
      <c r="OK25" s="29"/>
      <c r="OL25" s="29"/>
      <c r="OM25" s="29"/>
      <c r="ON25" s="29"/>
      <c r="OO25" s="29"/>
      <c r="OP25" s="29"/>
      <c r="OQ25" s="29"/>
      <c r="OR25" s="29"/>
      <c r="OS25" s="29"/>
      <c r="OT25" s="29"/>
      <c r="OU25" s="29"/>
      <c r="OV25" s="29"/>
      <c r="OW25" s="29"/>
      <c r="OX25" s="29"/>
      <c r="OY25" s="29"/>
      <c r="OZ25" s="29"/>
      <c r="PA25" s="29"/>
      <c r="PB25" s="29"/>
      <c r="PC25" s="29"/>
      <c r="PD25" s="29"/>
      <c r="PE25" s="29"/>
      <c r="PF25" s="29"/>
      <c r="PG25" s="29"/>
      <c r="PH25" s="29"/>
      <c r="PI25" s="29"/>
      <c r="PJ25" s="29"/>
      <c r="PK25" s="29"/>
      <c r="PL25" s="29"/>
      <c r="PM25" s="29"/>
      <c r="PN25" s="29"/>
      <c r="PO25" s="29"/>
      <c r="PP25" s="29"/>
      <c r="PQ25" s="29"/>
      <c r="PR25" s="29"/>
      <c r="PS25" s="29"/>
      <c r="PT25" s="29"/>
      <c r="PU25" s="29"/>
      <c r="PV25" s="29"/>
      <c r="PW25" s="29"/>
      <c r="PX25" s="29"/>
      <c r="PY25" s="29"/>
      <c r="PZ25" s="29"/>
      <c r="QA25" s="29"/>
      <c r="QB25" s="29"/>
      <c r="QC25" s="29"/>
      <c r="QD25" s="29"/>
      <c r="QE25" s="29"/>
      <c r="QF25" s="29"/>
      <c r="QG25" s="29"/>
      <c r="QH25" s="29"/>
      <c r="QI25" s="29"/>
      <c r="QJ25" s="29"/>
      <c r="QK25" s="29"/>
      <c r="QL25" s="29"/>
      <c r="QM25" s="29"/>
      <c r="QN25" s="29"/>
      <c r="QO25" s="29"/>
      <c r="QP25" s="29"/>
      <c r="QQ25" s="29"/>
      <c r="QR25" s="29"/>
      <c r="QS25" s="29"/>
      <c r="QT25" s="29"/>
      <c r="QU25" s="29"/>
      <c r="QV25" s="29"/>
      <c r="QW25" s="29"/>
      <c r="QX25" s="29"/>
      <c r="QY25" s="29"/>
      <c r="QZ25" s="29"/>
      <c r="RA25" s="29"/>
      <c r="RB25" s="29"/>
      <c r="RC25" s="29"/>
      <c r="RD25" s="29"/>
      <c r="RE25" s="29"/>
      <c r="RF25" s="29"/>
      <c r="RG25" s="29"/>
      <c r="RH25" s="29"/>
      <c r="RI25" s="29"/>
      <c r="RJ25" s="29"/>
      <c r="RK25" s="29"/>
      <c r="RL25" s="29"/>
      <c r="RM25" s="29"/>
      <c r="RN25" s="29"/>
      <c r="RO25" s="29"/>
      <c r="RP25" s="29"/>
      <c r="RQ25" s="29"/>
      <c r="RR25" s="29"/>
      <c r="RS25" s="29"/>
      <c r="RT25" s="29"/>
      <c r="RU25" s="29"/>
      <c r="RV25" s="29"/>
      <c r="RW25" s="29"/>
      <c r="RX25" s="29"/>
      <c r="RY25" s="29"/>
      <c r="RZ25" s="29"/>
      <c r="SA25" s="29"/>
      <c r="SB25" s="29"/>
      <c r="SC25" s="29"/>
      <c r="SD25" s="29"/>
      <c r="SE25" s="29"/>
      <c r="SF25" s="29"/>
      <c r="SG25" s="29"/>
      <c r="SH25" s="29"/>
      <c r="SI25" s="29"/>
      <c r="SJ25" s="29"/>
      <c r="SK25" s="29"/>
      <c r="SL25" s="29"/>
      <c r="SM25" s="29"/>
      <c r="SN25" s="29"/>
      <c r="SO25" s="29"/>
      <c r="SP25" s="29"/>
      <c r="SQ25" s="29"/>
      <c r="SR25" s="29"/>
      <c r="SS25" s="29"/>
      <c r="ST25" s="29"/>
      <c r="SU25" s="29"/>
      <c r="SV25" s="29"/>
      <c r="SW25" s="29"/>
      <c r="SX25" s="29"/>
      <c r="SY25" s="29"/>
      <c r="SZ25" s="29"/>
      <c r="TA25" s="29"/>
      <c r="TB25" s="29"/>
      <c r="TC25" s="29"/>
      <c r="TD25" s="29"/>
      <c r="TE25" s="29"/>
      <c r="TF25" s="29"/>
      <c r="TG25" s="29"/>
      <c r="TH25" s="29"/>
      <c r="TI25" s="29"/>
      <c r="TJ25" s="29"/>
      <c r="TK25" s="29"/>
      <c r="TL25" s="29"/>
      <c r="TM25" s="29"/>
      <c r="TN25" s="29"/>
      <c r="TO25" s="29"/>
      <c r="TP25" s="29"/>
      <c r="TQ25" s="29"/>
      <c r="TR25" s="29"/>
      <c r="TS25" s="29"/>
      <c r="TT25" s="29"/>
      <c r="TU25" s="29"/>
      <c r="TV25" s="29"/>
      <c r="TW25" s="29"/>
      <c r="TX25" s="29"/>
      <c r="TY25" s="29"/>
      <c r="TZ25" s="29"/>
      <c r="UA25" s="29"/>
      <c r="UB25" s="29"/>
      <c r="UC25" s="29"/>
      <c r="UD25" s="29"/>
      <c r="UE25" s="29"/>
      <c r="UF25" s="29"/>
      <c r="UG25" s="29"/>
      <c r="UH25" s="29"/>
      <c r="UI25" s="29"/>
      <c r="UJ25" s="29"/>
      <c r="UK25" s="29"/>
      <c r="UL25" s="29"/>
      <c r="UM25" s="29"/>
      <c r="UN25" s="29"/>
      <c r="UO25" s="29"/>
      <c r="UP25" s="29"/>
      <c r="UQ25" s="29"/>
      <c r="UR25" s="29"/>
      <c r="US25" s="29"/>
      <c r="UT25" s="29"/>
      <c r="UU25" s="29"/>
      <c r="UV25" s="29"/>
      <c r="UW25" s="29"/>
      <c r="UX25" s="29"/>
      <c r="UY25" s="29"/>
      <c r="UZ25" s="29"/>
      <c r="VA25" s="29"/>
      <c r="VB25" s="29"/>
      <c r="VC25" s="29"/>
      <c r="VD25" s="29"/>
      <c r="VE25" s="29"/>
      <c r="VF25" s="29"/>
      <c r="VG25" s="29"/>
      <c r="VH25" s="29"/>
      <c r="VI25" s="29"/>
      <c r="VJ25" s="29"/>
      <c r="VK25" s="29"/>
      <c r="VL25" s="29"/>
      <c r="VM25" s="29"/>
      <c r="VN25" s="29"/>
      <c r="VO25" s="29"/>
      <c r="VP25" s="29"/>
      <c r="VQ25" s="29"/>
      <c r="VR25" s="29"/>
      <c r="VS25" s="29"/>
      <c r="VT25" s="29"/>
      <c r="VU25" s="29"/>
      <c r="VV25" s="29"/>
      <c r="VW25" s="29"/>
      <c r="VX25" s="29"/>
      <c r="VY25" s="29"/>
      <c r="VZ25" s="29"/>
      <c r="WA25" s="29"/>
      <c r="WB25" s="29"/>
      <c r="WC25" s="29"/>
      <c r="WD25" s="29"/>
      <c r="WE25" s="29"/>
      <c r="WF25" s="29"/>
      <c r="WG25" s="29"/>
      <c r="WH25" s="29"/>
      <c r="WI25" s="29"/>
      <c r="WJ25" s="29"/>
      <c r="WK25" s="29"/>
      <c r="WL25" s="29"/>
      <c r="WM25" s="29"/>
      <c r="WN25" s="29"/>
      <c r="WO25" s="29"/>
      <c r="WP25" s="29"/>
      <c r="WQ25" s="29"/>
      <c r="WR25" s="29"/>
      <c r="WS25" s="29"/>
      <c r="WT25" s="29"/>
      <c r="WU25" s="29"/>
      <c r="WV25" s="29"/>
      <c r="WW25" s="29"/>
      <c r="WX25" s="29"/>
      <c r="WY25" s="29"/>
      <c r="WZ25" s="29"/>
      <c r="XA25" s="29"/>
      <c r="XB25" s="29"/>
      <c r="XC25" s="29"/>
      <c r="XD25" s="29"/>
      <c r="XE25" s="29"/>
      <c r="XF25" s="29"/>
      <c r="XG25" s="29"/>
      <c r="XH25" s="29"/>
      <c r="XI25" s="29"/>
      <c r="XJ25" s="29"/>
      <c r="XK25" s="29"/>
      <c r="XL25" s="29"/>
      <c r="XM25" s="29"/>
      <c r="XN25" s="29"/>
      <c r="XO25" s="29"/>
      <c r="XP25" s="29"/>
      <c r="XQ25" s="29"/>
      <c r="XR25" s="29"/>
      <c r="XS25" s="29"/>
      <c r="XT25" s="29"/>
      <c r="XU25" s="29"/>
      <c r="XV25" s="29"/>
      <c r="XW25" s="29"/>
      <c r="XX25" s="29"/>
      <c r="XY25" s="29"/>
      <c r="XZ25" s="29"/>
      <c r="YA25" s="29"/>
      <c r="YB25" s="29"/>
      <c r="YC25" s="29"/>
      <c r="YD25" s="29"/>
      <c r="YE25" s="29"/>
      <c r="YF25" s="29"/>
      <c r="YG25" s="29"/>
      <c r="YH25" s="29"/>
      <c r="YI25" s="29"/>
      <c r="YJ25" s="29"/>
      <c r="YK25" s="29"/>
      <c r="YL25" s="29"/>
      <c r="YM25" s="29"/>
      <c r="YN25" s="29"/>
      <c r="YO25" s="29"/>
      <c r="YP25" s="29"/>
      <c r="YQ25" s="29"/>
      <c r="YR25" s="29"/>
      <c r="YS25" s="29"/>
      <c r="YT25" s="29"/>
      <c r="YU25" s="29"/>
      <c r="YV25" s="29"/>
      <c r="YW25" s="29"/>
      <c r="YX25" s="29"/>
      <c r="YY25" s="29"/>
      <c r="YZ25" s="29"/>
      <c r="ZA25" s="29"/>
      <c r="ZB25" s="29"/>
      <c r="ZC25" s="29"/>
      <c r="ZD25" s="29"/>
      <c r="ZE25" s="29"/>
      <c r="ZF25" s="29"/>
      <c r="ZG25" s="29"/>
      <c r="ZH25" s="29"/>
      <c r="ZI25" s="29"/>
      <c r="ZJ25" s="29"/>
      <c r="ZK25" s="29"/>
      <c r="ZL25" s="29"/>
      <c r="ZM25" s="29"/>
      <c r="ZN25" s="29"/>
      <c r="ZO25" s="29"/>
      <c r="ZP25" s="29"/>
      <c r="ZQ25" s="29"/>
      <c r="ZR25" s="29"/>
      <c r="ZS25" s="29"/>
      <c r="ZT25" s="29"/>
      <c r="ZU25" s="29"/>
      <c r="ZV25" s="29"/>
      <c r="ZW25" s="29"/>
      <c r="ZX25" s="29"/>
      <c r="ZY25" s="29"/>
      <c r="ZZ25" s="29"/>
      <c r="AAA25" s="29"/>
      <c r="AAB25" s="29"/>
      <c r="AAC25" s="29"/>
      <c r="AAD25" s="29"/>
      <c r="AAE25" s="29"/>
      <c r="AAF25" s="29"/>
      <c r="AAG25" s="29"/>
      <c r="AAH25" s="29"/>
      <c r="AAI25" s="29"/>
      <c r="AAJ25" s="29"/>
      <c r="AAK25" s="29"/>
      <c r="AAL25" s="29"/>
      <c r="AAM25" s="29"/>
      <c r="AAN25" s="29"/>
      <c r="AAO25" s="29"/>
      <c r="AAP25" s="29"/>
      <c r="AAQ25" s="29"/>
      <c r="AAR25" s="29"/>
      <c r="AAS25" s="29"/>
      <c r="AAT25" s="29"/>
      <c r="AAU25" s="29"/>
      <c r="AAV25" s="29"/>
      <c r="AAW25" s="29"/>
      <c r="AAX25" s="29"/>
      <c r="AAY25" s="29"/>
      <c r="AAZ25" s="29"/>
      <c r="ABA25" s="29"/>
      <c r="ABB25" s="29"/>
      <c r="ABC25" s="29"/>
      <c r="ABD25" s="29"/>
      <c r="ABE25" s="29"/>
      <c r="ABF25" s="29"/>
      <c r="ABG25" s="29"/>
      <c r="ABH25" s="29"/>
      <c r="ABI25" s="29"/>
      <c r="ABJ25" s="29"/>
      <c r="ABK25" s="29"/>
      <c r="ABL25" s="29"/>
      <c r="ABM25" s="29"/>
      <c r="ABN25" s="29"/>
      <c r="ABO25" s="29"/>
      <c r="ABP25" s="29"/>
      <c r="ABQ25" s="29"/>
      <c r="ABR25" s="29"/>
      <c r="ABS25" s="29"/>
      <c r="ABT25" s="29"/>
      <c r="ABU25" s="29"/>
      <c r="ABV25" s="29"/>
      <c r="ABW25" s="29"/>
      <c r="ABX25" s="29"/>
      <c r="ABY25" s="29"/>
      <c r="ABZ25" s="29"/>
      <c r="ACA25" s="29"/>
      <c r="ACB25" s="29"/>
      <c r="ACC25" s="29"/>
      <c r="ACD25" s="29"/>
      <c r="ACE25" s="29"/>
      <c r="ACF25" s="29"/>
      <c r="ACG25" s="29"/>
      <c r="ACH25" s="29"/>
      <c r="ACI25" s="29"/>
      <c r="ACJ25" s="29"/>
      <c r="ACK25" s="29"/>
      <c r="ACL25" s="29"/>
      <c r="ACM25" s="29"/>
      <c r="ACN25" s="29"/>
      <c r="ACO25" s="29"/>
      <c r="ACP25" s="29"/>
      <c r="ACQ25" s="29"/>
      <c r="ACR25" s="29"/>
      <c r="ACS25" s="29"/>
      <c r="ACT25" s="29"/>
      <c r="ACU25" s="29"/>
      <c r="ACV25" s="29"/>
      <c r="ACW25" s="29"/>
      <c r="ACX25" s="29"/>
      <c r="ACY25" s="29"/>
      <c r="ACZ25" s="29"/>
      <c r="ADA25" s="29"/>
      <c r="ADB25" s="29"/>
      <c r="ADC25" s="29"/>
      <c r="ADD25" s="29"/>
      <c r="ADE25" s="29"/>
      <c r="ADF25" s="29"/>
      <c r="ADG25" s="29"/>
      <c r="ADH25" s="29"/>
      <c r="ADI25" s="29"/>
      <c r="ADJ25" s="29"/>
      <c r="ADK25" s="29"/>
      <c r="ADL25" s="29"/>
      <c r="ADM25" s="29"/>
      <c r="ADN25" s="29"/>
      <c r="ADO25" s="29"/>
      <c r="ADP25" s="29"/>
      <c r="ADQ25" s="29"/>
      <c r="ADR25" s="29"/>
      <c r="ADS25" s="29"/>
      <c r="ADT25" s="29"/>
      <c r="ADU25" s="29"/>
      <c r="ADV25" s="29"/>
      <c r="ADW25" s="29"/>
      <c r="ADX25" s="29"/>
      <c r="ADY25" s="29"/>
      <c r="ADZ25" s="29"/>
      <c r="AEA25" s="29"/>
      <c r="AEB25" s="29"/>
      <c r="AEC25" s="29"/>
      <c r="AED25" s="29"/>
      <c r="AEE25" s="29"/>
      <c r="AEF25" s="29"/>
      <c r="AEG25" s="29"/>
      <c r="AEH25" s="29"/>
      <c r="AEI25" s="29"/>
      <c r="AEJ25" s="29"/>
      <c r="AEK25" s="29"/>
      <c r="AEL25" s="29"/>
      <c r="AEM25" s="29"/>
      <c r="AEN25" s="29"/>
      <c r="AEO25" s="29"/>
      <c r="AEP25" s="29"/>
      <c r="AEQ25" s="29"/>
      <c r="AER25" s="29"/>
      <c r="AES25" s="29"/>
      <c r="AET25" s="29"/>
      <c r="AEU25" s="29"/>
      <c r="AEV25" s="29"/>
      <c r="AEW25" s="29"/>
      <c r="AEX25" s="29"/>
      <c r="AEY25" s="29"/>
      <c r="AEZ25" s="29"/>
      <c r="AFA25" s="29"/>
      <c r="AFB25" s="29"/>
      <c r="AFC25" s="29"/>
      <c r="AFD25" s="29"/>
      <c r="AFE25" s="29"/>
      <c r="AFF25" s="29"/>
      <c r="AFG25" s="29"/>
      <c r="AFH25" s="29"/>
      <c r="AFI25" s="29"/>
      <c r="AFJ25" s="29"/>
      <c r="AFK25" s="29"/>
      <c r="AFL25" s="29"/>
      <c r="AFM25" s="29"/>
      <c r="AFN25" s="29"/>
      <c r="AFO25" s="29"/>
      <c r="AFP25" s="29"/>
      <c r="AFQ25" s="29"/>
      <c r="AFR25" s="29"/>
      <c r="AFS25" s="29"/>
      <c r="AFT25" s="29"/>
      <c r="AFU25" s="29"/>
      <c r="AFV25" s="29"/>
      <c r="AFW25" s="29"/>
      <c r="AFX25" s="29"/>
      <c r="AFY25" s="29"/>
      <c r="AFZ25" s="29"/>
      <c r="AGA25" s="29"/>
      <c r="AGB25" s="29"/>
      <c r="AGC25" s="29"/>
      <c r="AGD25" s="29"/>
      <c r="AGE25" s="29"/>
      <c r="AGF25" s="29"/>
      <c r="AGG25" s="29"/>
      <c r="AGH25" s="29"/>
      <c r="AGI25" s="29"/>
      <c r="AGJ25" s="29"/>
      <c r="AGK25" s="29"/>
      <c r="AGL25" s="29"/>
      <c r="AGM25" s="29"/>
      <c r="AGN25" s="29"/>
      <c r="AGO25" s="29"/>
      <c r="AGP25" s="29"/>
      <c r="AGQ25" s="29"/>
      <c r="AGR25" s="29"/>
      <c r="AGS25" s="29"/>
      <c r="AGT25" s="29"/>
      <c r="AGU25" s="29"/>
      <c r="AGV25" s="29"/>
      <c r="AGW25" s="29"/>
      <c r="AGX25" s="29"/>
      <c r="AGY25" s="29"/>
      <c r="AGZ25" s="29"/>
      <c r="AHA25" s="29"/>
      <c r="AHB25" s="29"/>
      <c r="AHC25" s="29"/>
      <c r="AHD25" s="29"/>
      <c r="AHE25" s="29"/>
      <c r="AHF25" s="29"/>
      <c r="AHG25" s="29"/>
      <c r="AHH25" s="29"/>
      <c r="AHI25" s="29"/>
      <c r="AHJ25" s="29"/>
      <c r="AHK25" s="29"/>
      <c r="AHL25" s="29"/>
      <c r="AHM25" s="29"/>
      <c r="AHN25" s="29"/>
      <c r="AHO25" s="29"/>
      <c r="AHP25" s="29"/>
      <c r="AHQ25" s="29"/>
      <c r="AHR25" s="29"/>
      <c r="AHS25" s="29"/>
      <c r="AHT25" s="29"/>
      <c r="AHU25" s="29"/>
      <c r="AHV25" s="29"/>
      <c r="AHW25" s="29"/>
      <c r="AHX25" s="29"/>
      <c r="AHY25" s="29"/>
      <c r="AHZ25" s="29"/>
      <c r="AIA25" s="29"/>
      <c r="AIB25" s="29"/>
      <c r="AIC25" s="29"/>
      <c r="AID25" s="29"/>
      <c r="AIE25" s="29"/>
      <c r="AIF25" s="29"/>
      <c r="AIG25" s="29"/>
      <c r="AIH25" s="29"/>
      <c r="AII25" s="29"/>
      <c r="AIJ25" s="29"/>
      <c r="AIK25" s="29"/>
      <c r="AIL25" s="29"/>
      <c r="AIM25" s="29"/>
      <c r="AIN25" s="29"/>
      <c r="AIO25" s="29"/>
      <c r="AIP25" s="29"/>
      <c r="AIQ25" s="29"/>
      <c r="AIR25" s="29"/>
      <c r="AIS25" s="29"/>
      <c r="AIT25" s="29"/>
      <c r="AIU25" s="29"/>
      <c r="AIV25" s="29"/>
      <c r="AIW25" s="29"/>
      <c r="AIX25" s="29"/>
      <c r="AIY25" s="29"/>
      <c r="AIZ25" s="29"/>
      <c r="AJA25" s="29"/>
      <c r="AJB25" s="29"/>
      <c r="AJC25" s="29"/>
      <c r="AJD25" s="29"/>
      <c r="AJE25" s="29"/>
      <c r="AJF25" s="29"/>
      <c r="AJG25" s="29"/>
      <c r="AJH25" s="29"/>
      <c r="AJI25" s="29"/>
      <c r="AJJ25" s="29"/>
      <c r="AJK25" s="29"/>
      <c r="AJL25" s="29"/>
      <c r="AJM25" s="29"/>
      <c r="AJN25" s="29"/>
      <c r="AJO25" s="29"/>
      <c r="AJP25" s="29"/>
      <c r="AJQ25" s="29"/>
      <c r="AJR25" s="29"/>
      <c r="AJS25" s="29"/>
      <c r="AJT25" s="29"/>
      <c r="AJU25" s="29"/>
      <c r="AJV25" s="29"/>
      <c r="AJW25" s="29"/>
      <c r="AJX25" s="29"/>
      <c r="AJY25" s="29"/>
      <c r="AJZ25" s="29"/>
      <c r="AKA25" s="29"/>
      <c r="AKB25" s="29"/>
      <c r="AKC25" s="29"/>
      <c r="AKD25" s="29"/>
      <c r="AKE25" s="29"/>
      <c r="AKF25" s="29"/>
      <c r="AKG25" s="29"/>
      <c r="AKH25" s="29"/>
      <c r="AKI25" s="29"/>
      <c r="AKJ25" s="29"/>
      <c r="AKK25" s="29"/>
      <c r="AKL25" s="29"/>
      <c r="AKM25" s="29"/>
      <c r="AKN25" s="29"/>
      <c r="AKO25" s="29"/>
      <c r="AKP25" s="29"/>
      <c r="AKQ25" s="29"/>
      <c r="AKR25" s="29"/>
      <c r="AKS25" s="29"/>
      <c r="AKT25" s="29"/>
      <c r="AKU25" s="29"/>
      <c r="AKV25" s="29"/>
      <c r="AKW25" s="29"/>
      <c r="AKX25" s="29"/>
      <c r="AKY25" s="29"/>
      <c r="AKZ25" s="29"/>
      <c r="ALA25" s="29"/>
      <c r="ALB25" s="29"/>
      <c r="ALC25" s="29"/>
      <c r="ALD25" s="29"/>
      <c r="ALE25" s="29"/>
      <c r="ALF25" s="29"/>
      <c r="ALG25" s="29"/>
      <c r="ALH25" s="29"/>
      <c r="ALI25" s="29"/>
      <c r="ALJ25" s="29"/>
      <c r="ALK25" s="29"/>
      <c r="ALL25" s="29"/>
      <c r="ALM25" s="29"/>
      <c r="ALN25" s="29"/>
      <c r="ALO25" s="29"/>
      <c r="ALP25" s="29"/>
      <c r="ALQ25" s="29"/>
      <c r="ALR25" s="29"/>
      <c r="ALS25" s="29"/>
      <c r="ALT25" s="29"/>
      <c r="ALU25" s="29"/>
      <c r="ALV25" s="29"/>
      <c r="ALW25" s="29"/>
      <c r="ALX25" s="29"/>
      <c r="ALY25" s="29"/>
      <c r="ALZ25" s="29"/>
      <c r="AMA25" s="29"/>
      <c r="AMB25" s="29"/>
      <c r="AMC25" s="29"/>
      <c r="AMD25" s="29"/>
      <c r="AME25" s="29"/>
    </row>
    <row r="26" customFormat="false" ht="16.5" hidden="false" customHeight="true" outlineLevel="0" collapsed="false">
      <c r="B26" s="22" t="str">
        <f aca="false">'Base Joinville'!B7</f>
        <v>APS CANOINHAS</v>
      </c>
      <c r="C26" s="24" t="n">
        <f aca="false">'Base Joinville'!AO7</f>
        <v>1977.7624817923</v>
      </c>
      <c r="D26" s="24" t="n">
        <f aca="false">C26*3</f>
        <v>5933.2874453769</v>
      </c>
      <c r="E26" s="24" t="n">
        <f aca="false">C26+D26</f>
        <v>7911.04992716921</v>
      </c>
      <c r="F26" s="24" t="n">
        <f aca="false">C26*12</f>
        <v>23733.1497815076</v>
      </c>
      <c r="G26" s="24" t="n">
        <f aca="false">F26*3</f>
        <v>71199.4493445228</v>
      </c>
      <c r="H26" s="24" t="n">
        <f aca="false">F26+G26</f>
        <v>94932.5991260305</v>
      </c>
      <c r="I26" s="36" t="n">
        <f aca="false">F26/$E$7</f>
        <v>0.0734892929092137</v>
      </c>
    </row>
    <row r="27" customFormat="false" ht="16.5" hidden="false" customHeight="true" outlineLevel="0" collapsed="false">
      <c r="B27" s="22" t="str">
        <f aca="false">'Base Joinville'!B8</f>
        <v>APS GUARAMIRIM</v>
      </c>
      <c r="C27" s="24" t="n">
        <f aca="false">'Base Joinville'!AO8</f>
        <v>1015.49530315345</v>
      </c>
      <c r="D27" s="24" t="n">
        <f aca="false">C27*3</f>
        <v>3046.48590946034</v>
      </c>
      <c r="E27" s="24" t="n">
        <f aca="false">C27+D27</f>
        <v>4061.98121261378</v>
      </c>
      <c r="F27" s="24" t="n">
        <f aca="false">C27*12</f>
        <v>12185.9436378413</v>
      </c>
      <c r="G27" s="24" t="n">
        <f aca="false">F27*3</f>
        <v>36557.830913524</v>
      </c>
      <c r="H27" s="24" t="n">
        <f aca="false">F27+G27</f>
        <v>48743.7745513654</v>
      </c>
      <c r="I27" s="36" t="n">
        <f aca="false">F27/$E$7</f>
        <v>0.0377335663247815</v>
      </c>
    </row>
    <row r="28" customFormat="false" ht="16.5" hidden="false" customHeight="true" outlineLevel="0" collapsed="false">
      <c r="B28" s="22" t="str">
        <f aca="false">'Base Joinville'!B9</f>
        <v>APS JARAGUÁ DO SUL</v>
      </c>
      <c r="C28" s="24" t="n">
        <f aca="false">'Base Joinville'!AO9</f>
        <v>1647.78428597357</v>
      </c>
      <c r="D28" s="24" t="n">
        <f aca="false">C28*3</f>
        <v>4943.35285792071</v>
      </c>
      <c r="E28" s="24" t="n">
        <f aca="false">C28+D28</f>
        <v>6591.13714389429</v>
      </c>
      <c r="F28" s="24" t="n">
        <f aca="false">C28*12</f>
        <v>19773.4114316829</v>
      </c>
      <c r="G28" s="24" t="n">
        <f aca="false">F28*3</f>
        <v>59320.2342950486</v>
      </c>
      <c r="H28" s="24" t="n">
        <f aca="false">F28+G28</f>
        <v>79093.6457267314</v>
      </c>
      <c r="I28" s="36" t="n">
        <f aca="false">F28/$E$7</f>
        <v>0.0612280307458215</v>
      </c>
    </row>
    <row r="29" customFormat="false" ht="16.5" hidden="false" customHeight="true" outlineLevel="0" collapsed="false">
      <c r="B29" s="22" t="str">
        <f aca="false">'Base Joinville'!B10</f>
        <v>APS MAFRA</v>
      </c>
      <c r="C29" s="24" t="n">
        <f aca="false">'Base Joinville'!AO10</f>
        <v>1504.00165943237</v>
      </c>
      <c r="D29" s="24" t="n">
        <f aca="false">C29*3</f>
        <v>4512.00497829712</v>
      </c>
      <c r="E29" s="24" t="n">
        <f aca="false">C29+D29</f>
        <v>6016.00663772949</v>
      </c>
      <c r="F29" s="24" t="n">
        <f aca="false">C29*12</f>
        <v>18048.0199131885</v>
      </c>
      <c r="G29" s="24" t="n">
        <f aca="false">F29*3</f>
        <v>54144.0597395654</v>
      </c>
      <c r="H29" s="24" t="n">
        <f aca="false">F29+G29</f>
        <v>72192.0796527539</v>
      </c>
      <c r="I29" s="36" t="n">
        <f aca="false">F29/$E$7</f>
        <v>0.0558853853804556</v>
      </c>
    </row>
    <row r="30" customFormat="false" ht="16.5" hidden="false" customHeight="true" outlineLevel="0" collapsed="false">
      <c r="B30" s="22" t="str">
        <f aca="false">'Base Joinville'!B11</f>
        <v>APS RIO NEGRO</v>
      </c>
      <c r="C30" s="24" t="n">
        <f aca="false">'Base Joinville'!AO11</f>
        <v>1197.86741478939</v>
      </c>
      <c r="D30" s="24" t="n">
        <f aca="false">C30*3</f>
        <v>3593.60224436816</v>
      </c>
      <c r="E30" s="24" t="n">
        <f aca="false">C30+D30</f>
        <v>4791.46965915755</v>
      </c>
      <c r="F30" s="24" t="n">
        <f aca="false">C30*12</f>
        <v>14374.4089774726</v>
      </c>
      <c r="G30" s="24" t="n">
        <f aca="false">F30*3</f>
        <v>43123.226932418</v>
      </c>
      <c r="H30" s="24" t="n">
        <f aca="false">F30+G30</f>
        <v>57497.6359098906</v>
      </c>
      <c r="I30" s="36" t="n">
        <f aca="false">F30/$E$7</f>
        <v>0.0445101118674697</v>
      </c>
    </row>
    <row r="31" customFormat="false" ht="16.5" hidden="false" customHeight="true" outlineLevel="0" collapsed="false">
      <c r="B31" s="22" t="str">
        <f aca="false">'Base Joinville'!B12</f>
        <v>APS SÃO BENTO DO SUL</v>
      </c>
      <c r="C31" s="24" t="n">
        <f aca="false">'Base Joinville'!AO12</f>
        <v>1467.44444323756</v>
      </c>
      <c r="D31" s="24" t="n">
        <f aca="false">C31*3</f>
        <v>4402.33332971269</v>
      </c>
      <c r="E31" s="24" t="n">
        <f aca="false">C31+D31</f>
        <v>5869.77777295026</v>
      </c>
      <c r="F31" s="24" t="n">
        <f aca="false">C31*12</f>
        <v>17609.3333188508</v>
      </c>
      <c r="G31" s="24" t="n">
        <f aca="false">F31*3</f>
        <v>52827.9999565523</v>
      </c>
      <c r="H31" s="24" t="n">
        <f aca="false">F31+G31</f>
        <v>70437.3332754031</v>
      </c>
      <c r="I31" s="36" t="n">
        <f aca="false">F31/$E$7</f>
        <v>0.0545269998343555</v>
      </c>
    </row>
    <row r="32" customFormat="false" ht="16.5" hidden="false" customHeight="true" outlineLevel="0" collapsed="false">
      <c r="B32" s="22" t="str">
        <f aca="false">'Base Joinville'!B13</f>
        <v>APS SÃO FRANCISCO DO SUL</v>
      </c>
      <c r="C32" s="24" t="n">
        <f aca="false">'Base Joinville'!AO13</f>
        <v>1163.55207908229</v>
      </c>
      <c r="D32" s="24" t="n">
        <f aca="false">C32*3</f>
        <v>3490.65623724687</v>
      </c>
      <c r="E32" s="24" t="n">
        <f aca="false">C32+D32</f>
        <v>4654.20831632916</v>
      </c>
      <c r="F32" s="24" t="n">
        <f aca="false">C32*12</f>
        <v>13962.6249489875</v>
      </c>
      <c r="G32" s="24" t="n">
        <f aca="false">F32*3</f>
        <v>41887.8748469625</v>
      </c>
      <c r="H32" s="24" t="n">
        <f aca="false">F32+G32</f>
        <v>55850.49979595</v>
      </c>
      <c r="I32" s="36" t="n">
        <f aca="false">F32/$E$7</f>
        <v>0.0432350296570055</v>
      </c>
    </row>
    <row r="33" customFormat="false" ht="16.5" hidden="false" customHeight="true" outlineLevel="0" collapsed="false">
      <c r="B33" s="22" t="str">
        <f aca="false">'Base Joinville'!B14</f>
        <v>GEX/APS JOINVILLE</v>
      </c>
      <c r="C33" s="24" t="n">
        <f aca="false">'Base Joinville'!AO14</f>
        <v>1961.91232755004</v>
      </c>
      <c r="D33" s="24" t="n">
        <f aca="false">C33*3</f>
        <v>5885.73698265011</v>
      </c>
      <c r="E33" s="24" t="n">
        <f aca="false">C33+D33</f>
        <v>7847.64931020015</v>
      </c>
      <c r="F33" s="24" t="n">
        <f aca="false">C33*12</f>
        <v>23542.9479306005</v>
      </c>
      <c r="G33" s="24" t="n">
        <f aca="false">F33*3</f>
        <v>70628.8437918014</v>
      </c>
      <c r="H33" s="24" t="n">
        <f aca="false">F33+G33</f>
        <v>94171.7917224018</v>
      </c>
      <c r="I33" s="36" t="n">
        <f aca="false">F33/$E$7</f>
        <v>0.0729003361267438</v>
      </c>
    </row>
    <row r="34" customFormat="false" ht="16.5" hidden="false" customHeight="true" outlineLevel="0" collapsed="false">
      <c r="B34" s="22" t="str">
        <f aca="false">'Base Joinville'!B15</f>
        <v>DEPÓSITO JOINVILLE - GUANABARA</v>
      </c>
      <c r="C34" s="24" t="n">
        <f aca="false">'Base Joinville'!AO15</f>
        <v>1243.13020522381</v>
      </c>
      <c r="D34" s="24" t="n">
        <f aca="false">C34*3</f>
        <v>3729.39061567144</v>
      </c>
      <c r="E34" s="24" t="n">
        <f aca="false">C34+D34</f>
        <v>4972.52082089525</v>
      </c>
      <c r="F34" s="24" t="n">
        <f aca="false">C34*12</f>
        <v>14917.5624626857</v>
      </c>
      <c r="G34" s="24" t="n">
        <f aca="false">F34*3</f>
        <v>44752.6873880572</v>
      </c>
      <c r="H34" s="24" t="n">
        <f aca="false">F34+G34</f>
        <v>59670.249850743</v>
      </c>
      <c r="I34" s="36" t="n">
        <f aca="false">F34/$E$7</f>
        <v>0.046191977356752</v>
      </c>
    </row>
    <row r="35" customFormat="false" ht="22.5" hidden="false" customHeight="true" outlineLevel="0" collapsed="false">
      <c r="B35" s="41" t="str">
        <f aca="false">"Total Base "&amp;B6</f>
        <v>Total Base JOINVILLE</v>
      </c>
      <c r="C35" s="41" t="n">
        <f aca="false">SUM(C26:C34)</f>
        <v>13178.9502002348</v>
      </c>
      <c r="D35" s="41" t="n">
        <f aca="false">SUM(D26:D34)</f>
        <v>39536.8506007044</v>
      </c>
      <c r="E35" s="41" t="n">
        <f aca="false">SUM(E26:E34)</f>
        <v>52715.8008009391</v>
      </c>
      <c r="F35" s="41" t="n">
        <f aca="false">SUM(F26:F34)</f>
        <v>158147.402402817</v>
      </c>
      <c r="G35" s="41" t="n">
        <f aca="false">SUM(G26:G34)</f>
        <v>474442.207208452</v>
      </c>
      <c r="H35" s="41" t="n">
        <f aca="false">SUM(H26:H34)</f>
        <v>632589.60961127</v>
      </c>
      <c r="I35" s="42" t="n">
        <f aca="false">SUM(I26:I34)</f>
        <v>0.489700730202599</v>
      </c>
    </row>
    <row r="36" customFormat="false" ht="22.5" hidden="false" customHeight="true" outlineLevel="0" collapsed="false">
      <c r="B36" s="43"/>
      <c r="C36" s="39"/>
      <c r="D36" s="39"/>
      <c r="E36" s="39"/>
      <c r="F36" s="39"/>
      <c r="G36" s="39"/>
      <c r="H36" s="39"/>
      <c r="I36" s="40"/>
    </row>
  </sheetData>
  <mergeCells count="7">
    <mergeCell ref="B2:I2"/>
    <mergeCell ref="B9:B10"/>
    <mergeCell ref="C9:E9"/>
    <mergeCell ref="F9:H9"/>
    <mergeCell ref="B24:B25"/>
    <mergeCell ref="C24:E24"/>
    <mergeCell ref="F24:H24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E65527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E7" activeCellId="0" sqref="E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21.62"/>
    <col collapsed="false" customWidth="true" hidden="false" outlineLevel="0" max="5" min="3" style="2" width="14.62"/>
    <col collapsed="false" customWidth="true" hidden="false" outlineLevel="0" max="6" min="6" style="2" width="13.5"/>
    <col collapsed="false" customWidth="true" hidden="false" outlineLevel="0" max="7" min="7" style="2" width="12.5"/>
    <col collapsed="false" customWidth="true" hidden="false" outlineLevel="0" max="257" min="8" style="2" width="10.62"/>
    <col collapsed="false" customWidth="true" hidden="false" outlineLevel="0" max="1025" min="258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44" t="str">
        <f aca="false">"CÁLCULO DO CUSTO DA EQUIPE TÉCNICA PARA O "&amp;'Valor da Contratação'!B7&amp;""</f>
        <v>CÁLCULO DO CUSTO DA EQUIPE TÉCNICA PARA O POLO IV</v>
      </c>
      <c r="C2" s="44"/>
      <c r="D2" s="44"/>
      <c r="E2" s="44"/>
    </row>
    <row r="3" customFormat="false" ht="15" hidden="false" customHeight="true" outlineLevel="0" collapsed="false">
      <c r="B3" s="45"/>
      <c r="C3" s="45"/>
      <c r="D3" s="45"/>
      <c r="E3" s="45"/>
    </row>
    <row r="4" customFormat="false" ht="45.75" hidden="false" customHeight="true" outlineLevel="0" collapsed="false">
      <c r="B4" s="46" t="s">
        <v>30</v>
      </c>
      <c r="C4" s="47" t="s">
        <v>31</v>
      </c>
      <c r="D4" s="47" t="s">
        <v>32</v>
      </c>
      <c r="E4" s="47" t="s">
        <v>33</v>
      </c>
    </row>
    <row r="5" customFormat="false" ht="19.5" hidden="false" customHeight="true" outlineLevel="0" collapsed="false">
      <c r="B5" s="46"/>
      <c r="C5" s="48" t="n">
        <v>127.85</v>
      </c>
      <c r="D5" s="48" t="n">
        <f aca="false">'Comp. Eng. Eletricista'!D11</f>
        <v>126.971875</v>
      </c>
      <c r="E5" s="48" t="n">
        <v>31.07</v>
      </c>
    </row>
    <row r="6" customFormat="false" ht="19.5" hidden="false" customHeight="true" outlineLevel="0" collapsed="false">
      <c r="B6" s="49" t="s">
        <v>34</v>
      </c>
      <c r="C6" s="50" t="n">
        <v>80</v>
      </c>
      <c r="D6" s="50" t="n">
        <v>16</v>
      </c>
      <c r="E6" s="50" t="n">
        <v>80</v>
      </c>
    </row>
    <row r="7" customFormat="false" ht="19.5" hidden="false" customHeight="true" outlineLevel="0" collapsed="false">
      <c r="B7" s="49" t="s">
        <v>35</v>
      </c>
      <c r="C7" s="48" t="n">
        <f aca="false">C5*C6</f>
        <v>10228</v>
      </c>
      <c r="D7" s="48" t="n">
        <f aca="false">D5*D6</f>
        <v>2031.55</v>
      </c>
      <c r="E7" s="48" t="n">
        <f aca="false">E5*E6</f>
        <v>2485.6</v>
      </c>
    </row>
    <row r="8" customFormat="false" ht="19.5" hidden="false" customHeight="true" outlineLevel="0" collapsed="false">
      <c r="B8" s="49" t="s">
        <v>36</v>
      </c>
      <c r="C8" s="48" t="n">
        <f aca="false">C5*C6*12</f>
        <v>122736</v>
      </c>
      <c r="D8" s="48" t="n">
        <f aca="false">D5*D6*12</f>
        <v>24378.6</v>
      </c>
      <c r="E8" s="48" t="n">
        <f aca="false">E5*E6*12</f>
        <v>29827.2</v>
      </c>
    </row>
    <row r="9" customFormat="false" ht="19.5" hidden="false" customHeight="true" outlineLevel="0" collapsed="false">
      <c r="B9" s="51" t="s">
        <v>37</v>
      </c>
      <c r="C9" s="52"/>
      <c r="D9" s="52"/>
      <c r="E9" s="52"/>
    </row>
    <row r="10" customFormat="false" ht="19.5" hidden="false" customHeight="true" outlineLevel="0" collapsed="false">
      <c r="C10" s="52"/>
      <c r="D10" s="52"/>
      <c r="E10" s="52"/>
    </row>
    <row r="11" customFormat="false" ht="19.5" hidden="false" customHeight="true" outlineLevel="0" collapsed="false">
      <c r="B11" s="46" t="s">
        <v>38</v>
      </c>
      <c r="C11" s="46"/>
      <c r="E11" s="52"/>
    </row>
    <row r="12" customFormat="false" ht="19.5" hidden="false" customHeight="true" outlineLevel="0" collapsed="false">
      <c r="B12" s="49" t="s">
        <v>39</v>
      </c>
      <c r="C12" s="48" t="n">
        <f aca="false">SUM(C7:E7)</f>
        <v>14745.15</v>
      </c>
      <c r="E12" s="52"/>
    </row>
    <row r="13" customFormat="false" ht="19.5" hidden="false" customHeight="true" outlineLevel="0" collapsed="false">
      <c r="B13" s="49" t="s">
        <v>40</v>
      </c>
      <c r="C13" s="48" t="n">
        <f aca="false">SUM(C8:E8)</f>
        <v>176941.8</v>
      </c>
    </row>
    <row r="65527" customFormat="false" ht="12.75" hidden="false" customHeight="true" outlineLevel="0" collapsed="false"/>
  </sheetData>
  <mergeCells count="3">
    <mergeCell ref="B2:E2"/>
    <mergeCell ref="B4:B5"/>
    <mergeCell ref="B11:C11"/>
  </mergeCells>
  <printOptions headings="false" gridLines="false" gridLinesSet="true" horizontalCentered="true" verticalCentered="false"/>
  <pageMargins left="0.7875" right="0.7875" top="0.47777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FF66"/>
    <pageSetUpPr fitToPage="false"/>
  </sheetPr>
  <dimension ref="A1:ALX23"/>
  <sheetViews>
    <sheetView showFormulas="false" showGridLines="false" showRowColHeaders="true" showZeros="true" rightToLeft="false" tabSelected="false" showOutlineSymbols="true" defaultGridColor="true" view="normal" topLeftCell="S4" colorId="64" zoomScale="90" zoomScaleNormal="90" zoomScalePageLayoutView="100" workbookViewId="0">
      <selection pane="topLeft" activeCell="V18" activeCellId="0" sqref="V18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33.62"/>
    <col collapsed="false" customWidth="true" hidden="false" outlineLevel="0" max="15" min="3" style="16" width="12.62"/>
    <col collapsed="false" customWidth="false" hidden="false" outlineLevel="0" max="16" min="16" style="16" width="8.38"/>
    <col collapsed="false" customWidth="true" hidden="false" outlineLevel="0" max="17" min="17" style="16" width="33"/>
    <col collapsed="false" customWidth="true" hidden="false" outlineLevel="0" max="33" min="18" style="16" width="11.5"/>
    <col collapsed="false" customWidth="true" hidden="false" outlineLevel="0" max="34" min="34" style="16" width="11"/>
    <col collapsed="false" customWidth="true" hidden="false" outlineLevel="0" max="35" min="35" style="16" width="33"/>
    <col collapsed="false" customWidth="true" hidden="false" outlineLevel="0" max="36" min="36" style="16" width="10.62"/>
    <col collapsed="false" customWidth="true" hidden="false" outlineLevel="0" max="40" min="37" style="16" width="11.75"/>
    <col collapsed="false" customWidth="true" hidden="false" outlineLevel="0" max="42" min="41" style="16" width="11.38"/>
    <col collapsed="false" customWidth="true" hidden="false" outlineLevel="0" max="43" min="43" style="16" width="12.88"/>
    <col collapsed="false" customWidth="true" hidden="false" outlineLevel="0" max="44" min="44" style="16" width="3.38"/>
    <col collapsed="false" customWidth="true" hidden="false" outlineLevel="0" max="45" min="45" style="16" width="28.12"/>
    <col collapsed="false" customWidth="true" hidden="false" outlineLevel="0" max="46" min="46" style="16" width="12.76"/>
    <col collapsed="false" customWidth="true" hidden="false" outlineLevel="0" max="49" min="47" style="16" width="11.75"/>
    <col collapsed="false" customWidth="true" hidden="false" outlineLevel="0" max="256" min="50" style="16" width="10.62"/>
    <col collapsed="false" customWidth="true" hidden="false" outlineLevel="0" max="1012" min="257" style="1" width="10.5"/>
  </cols>
  <sheetData>
    <row r="1" customFormat="false" ht="15" hidden="false" customHeight="true" outlineLevel="0" collapsed="false"/>
    <row r="2" s="53" customFormat="true" ht="24.75" hidden="false" customHeight="true" outlineLevel="0" collapsed="false">
      <c r="B2" s="54" t="str">
        <f aca="false">"BASE "&amp;Resumo!B5&amp;" - PLANILHA DE FORMAÇÃO DE PREÇOS"</f>
        <v>BASE BLUMENAU - PLANILHA DE FORMAÇÃO DE PREÇOS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5"/>
      <c r="Q2" s="44" t="str">
        <f aca="false">"BASE "&amp;Resumo!B5&amp;" – PLANILHA DE DISTRIBUIÇÃO DE CUSTOS POR UNIDADE"</f>
        <v>BASE BLUMENAU – PLANILHA DE DISTRIBUIÇÃO DE CUSTOS POR UNIDADE</v>
      </c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56"/>
      <c r="AI2" s="57" t="str">
        <f aca="false">"BASE "&amp;Resumo!B5&amp;" – PLANILHA RESUMO DE CUSTOS DA BASE"</f>
        <v>BASE BLUMENAU – PLANILHA RESUMO DE CUSTOS DA BASE</v>
      </c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</row>
    <row r="3" customFormat="false" ht="15" hidden="false" customHeight="true" outlineLevel="0" collapsed="false">
      <c r="B3" s="53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</row>
    <row r="4" s="33" customFormat="true" ht="19.5" hidden="false" customHeight="true" outlineLevel="0" collapsed="false">
      <c r="B4" s="47" t="s">
        <v>41</v>
      </c>
      <c r="C4" s="47" t="s">
        <v>42</v>
      </c>
      <c r="D4" s="47"/>
      <c r="E4" s="47"/>
      <c r="F4" s="47"/>
      <c r="G4" s="47"/>
      <c r="H4" s="47" t="s">
        <v>43</v>
      </c>
      <c r="I4" s="47"/>
      <c r="J4" s="47"/>
      <c r="K4" s="47"/>
      <c r="L4" s="47"/>
      <c r="M4" s="47"/>
      <c r="N4" s="47"/>
      <c r="O4" s="47" t="s">
        <v>28</v>
      </c>
      <c r="P4" s="55"/>
      <c r="Q4" s="47" t="s">
        <v>44</v>
      </c>
      <c r="R4" s="58" t="s">
        <v>45</v>
      </c>
      <c r="S4" s="58"/>
      <c r="T4" s="58"/>
      <c r="U4" s="58"/>
      <c r="V4" s="58" t="s">
        <v>46</v>
      </c>
      <c r="W4" s="58"/>
      <c r="X4" s="58"/>
      <c r="Y4" s="58"/>
      <c r="Z4" s="58" t="s">
        <v>47</v>
      </c>
      <c r="AA4" s="58"/>
      <c r="AB4" s="58"/>
      <c r="AC4" s="58"/>
      <c r="AD4" s="58" t="s">
        <v>48</v>
      </c>
      <c r="AE4" s="58"/>
      <c r="AF4" s="58"/>
      <c r="AG4" s="58"/>
      <c r="AI4" s="47" t="s">
        <v>44</v>
      </c>
      <c r="AJ4" s="59" t="s">
        <v>49</v>
      </c>
      <c r="AK4" s="59"/>
      <c r="AL4" s="59"/>
      <c r="AM4" s="59"/>
      <c r="AN4" s="59"/>
      <c r="AO4" s="59" t="s">
        <v>50</v>
      </c>
      <c r="AP4" s="59"/>
      <c r="AQ4" s="59"/>
      <c r="AR4" s="60"/>
      <c r="AS4" s="59" t="str">
        <f aca="false">"Resumo de Custos da Base "&amp;Resumo!B5</f>
        <v>Resumo de Custos da Base BLUMENAU</v>
      </c>
      <c r="AT4" s="59"/>
      <c r="AU4" s="59"/>
      <c r="AV4" s="59"/>
      <c r="AW4" s="59"/>
    </row>
    <row r="5" customFormat="false" ht="39.75" hidden="false" customHeight="true" outlineLevel="0" collapsed="false">
      <c r="B5" s="47"/>
      <c r="C5" s="47" t="s">
        <v>28</v>
      </c>
      <c r="D5" s="47" t="s">
        <v>51</v>
      </c>
      <c r="E5" s="47" t="s">
        <v>52</v>
      </c>
      <c r="F5" s="47" t="s">
        <v>53</v>
      </c>
      <c r="G5" s="47" t="s">
        <v>54</v>
      </c>
      <c r="H5" s="47" t="s">
        <v>55</v>
      </c>
      <c r="I5" s="47" t="s">
        <v>56</v>
      </c>
      <c r="J5" s="47" t="s">
        <v>57</v>
      </c>
      <c r="K5" s="47" t="s">
        <v>58</v>
      </c>
      <c r="L5" s="47" t="s">
        <v>59</v>
      </c>
      <c r="M5" s="47" t="s">
        <v>60</v>
      </c>
      <c r="N5" s="47" t="s">
        <v>61</v>
      </c>
      <c r="O5" s="47"/>
      <c r="P5" s="55"/>
      <c r="Q5" s="47"/>
      <c r="R5" s="47" t="s">
        <v>62</v>
      </c>
      <c r="S5" s="47" t="s">
        <v>63</v>
      </c>
      <c r="T5" s="47" t="s">
        <v>64</v>
      </c>
      <c r="U5" s="47" t="s">
        <v>65</v>
      </c>
      <c r="V5" s="47" t="s">
        <v>66</v>
      </c>
      <c r="W5" s="47" t="s">
        <v>67</v>
      </c>
      <c r="X5" s="47" t="s">
        <v>68</v>
      </c>
      <c r="Y5" s="47" t="s">
        <v>69</v>
      </c>
      <c r="Z5" s="47" t="s">
        <v>70</v>
      </c>
      <c r="AA5" s="47"/>
      <c r="AB5" s="47"/>
      <c r="AC5" s="47" t="n">
        <f aca="false">N18+'Base Joinville'!N16</f>
        <v>771.5</v>
      </c>
      <c r="AD5" s="58" t="s">
        <v>62</v>
      </c>
      <c r="AE5" s="58" t="s">
        <v>63</v>
      </c>
      <c r="AF5" s="58" t="s">
        <v>64</v>
      </c>
      <c r="AG5" s="58" t="s">
        <v>65</v>
      </c>
      <c r="AI5" s="47"/>
      <c r="AJ5" s="58" t="s">
        <v>71</v>
      </c>
      <c r="AK5" s="58" t="s">
        <v>62</v>
      </c>
      <c r="AL5" s="58" t="s">
        <v>63</v>
      </c>
      <c r="AM5" s="58" t="s">
        <v>64</v>
      </c>
      <c r="AN5" s="58" t="s">
        <v>65</v>
      </c>
      <c r="AO5" s="58" t="s">
        <v>72</v>
      </c>
      <c r="AP5" s="58" t="s">
        <v>73</v>
      </c>
      <c r="AQ5" s="58" t="s">
        <v>74</v>
      </c>
      <c r="AR5" s="56"/>
      <c r="AS5" s="58" t="s">
        <v>75</v>
      </c>
      <c r="AT5" s="58" t="s">
        <v>62</v>
      </c>
      <c r="AU5" s="58" t="s">
        <v>63</v>
      </c>
      <c r="AV5" s="58" t="s">
        <v>64</v>
      </c>
      <c r="AW5" s="58" t="s">
        <v>65</v>
      </c>
    </row>
    <row r="6" customFormat="false" ht="19.5" hidden="false" customHeight="true" outlineLevel="0" collapsed="false">
      <c r="B6" s="47"/>
      <c r="C6" s="61" t="s">
        <v>76</v>
      </c>
      <c r="D6" s="61" t="n">
        <v>1</v>
      </c>
      <c r="E6" s="61" t="n">
        <v>0.35</v>
      </c>
      <c r="F6" s="61" t="n">
        <v>0.1</v>
      </c>
      <c r="G6" s="47"/>
      <c r="H6" s="61" t="n">
        <v>1</v>
      </c>
      <c r="I6" s="61" t="n">
        <v>1.2</v>
      </c>
      <c r="J6" s="61" t="n">
        <v>2</v>
      </c>
      <c r="K6" s="61" t="n">
        <v>4</v>
      </c>
      <c r="L6" s="61" t="n">
        <v>1.1</v>
      </c>
      <c r="M6" s="61" t="n">
        <v>1.1</v>
      </c>
      <c r="N6" s="47"/>
      <c r="O6" s="47"/>
      <c r="P6" s="62"/>
      <c r="Q6" s="47"/>
      <c r="R6" s="61" t="s">
        <v>77</v>
      </c>
      <c r="S6" s="61" t="s">
        <v>78</v>
      </c>
      <c r="T6" s="61" t="s">
        <v>79</v>
      </c>
      <c r="U6" s="61" t="s">
        <v>80</v>
      </c>
      <c r="V6" s="47"/>
      <c r="W6" s="47"/>
      <c r="X6" s="47"/>
      <c r="Y6" s="47"/>
      <c r="Z6" s="35" t="s">
        <v>62</v>
      </c>
      <c r="AA6" s="35" t="s">
        <v>63</v>
      </c>
      <c r="AB6" s="35" t="s">
        <v>64</v>
      </c>
      <c r="AC6" s="35" t="s">
        <v>65</v>
      </c>
      <c r="AD6" s="58"/>
      <c r="AE6" s="58"/>
      <c r="AF6" s="58"/>
      <c r="AG6" s="58"/>
      <c r="AI6" s="47"/>
      <c r="AJ6" s="58"/>
      <c r="AK6" s="58"/>
      <c r="AL6" s="58"/>
      <c r="AM6" s="58"/>
      <c r="AN6" s="58"/>
      <c r="AO6" s="58"/>
      <c r="AP6" s="58"/>
      <c r="AQ6" s="58"/>
      <c r="AR6" s="63"/>
      <c r="AS6" s="58"/>
      <c r="AT6" s="35" t="s">
        <v>77</v>
      </c>
      <c r="AU6" s="35" t="s">
        <v>78</v>
      </c>
      <c r="AV6" s="35" t="s">
        <v>79</v>
      </c>
      <c r="AW6" s="35" t="s">
        <v>80</v>
      </c>
    </row>
    <row r="7" s="2" customFormat="true" ht="15" hidden="false" customHeight="true" outlineLevel="0" collapsed="false">
      <c r="B7" s="64" t="s">
        <v>81</v>
      </c>
      <c r="C7" s="65" t="n">
        <f aca="false">VLOOKUP($B7,Unidades!$D$5:$N$24,6,FALSE())</f>
        <v>557.17</v>
      </c>
      <c r="D7" s="65" t="n">
        <f aca="false">VLOOKUP($B7,Unidades!$D$5:$N$24,7,FALSE())</f>
        <v>516.32</v>
      </c>
      <c r="E7" s="65" t="n">
        <f aca="false">VLOOKUP($B7,Unidades!$D$5:$N$24,8,FALSE())</f>
        <v>40.85</v>
      </c>
      <c r="F7" s="65" t="n">
        <f aca="false">VLOOKUP($B7,Unidades!$D$5:$N$24,9,FALSE())</f>
        <v>0</v>
      </c>
      <c r="G7" s="65" t="n">
        <f aca="false">D7+E7*$E$6+F7*$F$6</f>
        <v>530.6175</v>
      </c>
      <c r="H7" s="66" t="n">
        <f aca="false">IF(G7&lt;750,1.5,IF(G7&lt;2000,2,3))</f>
        <v>1.5</v>
      </c>
      <c r="I7" s="66" t="n">
        <f aca="false">$I$6*H7</f>
        <v>1.8</v>
      </c>
      <c r="J7" s="66" t="str">
        <f aca="false">VLOOKUP($B7,Unidades!$D$5:$N$24,10,FALSE())</f>
        <v>SIM</v>
      </c>
      <c r="K7" s="66" t="str">
        <f aca="false">VLOOKUP($B7,Unidades!$D$5:$N$24,11,FALSE())</f>
        <v>NÃO</v>
      </c>
      <c r="L7" s="66" t="n">
        <f aca="false">$L$6*H7+(IF(J7="SIM",$J$6,0))</f>
        <v>3.65</v>
      </c>
      <c r="M7" s="66" t="n">
        <f aca="false">$M$6*H7+(IF(J7="SIM",$J$6,0))+(IF(K7="SIM",$K$6,0))</f>
        <v>3.65</v>
      </c>
      <c r="N7" s="66" t="n">
        <f aca="false">H7*12+I7*4+L7*2+M7</f>
        <v>36.15</v>
      </c>
      <c r="O7" s="67" t="n">
        <f aca="false">IF(K7="não", N7*(C$21+D$21),N7*(C$21+D$21)+(M7*+E$21))</f>
        <v>2042.475</v>
      </c>
      <c r="P7" s="68"/>
      <c r="Q7" s="22" t="str">
        <f aca="false">B7</f>
        <v>APS BALNEÁRIO CAMBORIÚ</v>
      </c>
      <c r="R7" s="24" t="n">
        <f aca="false">H7*($C$21+$D$21)</f>
        <v>84.75</v>
      </c>
      <c r="S7" s="24" t="n">
        <f aca="false">I7*($C$21+$D$21)</f>
        <v>101.7</v>
      </c>
      <c r="T7" s="24" t="n">
        <f aca="false">L7*($C$21+$D$21)</f>
        <v>206.225</v>
      </c>
      <c r="U7" s="24" t="n">
        <f aca="false">IF(K7="não",M7*($C$21+$D$21),M7*(C$21+D$21+E$21))</f>
        <v>206.225</v>
      </c>
      <c r="V7" s="24" t="n">
        <f aca="false">VLOOKUP(Q7,'Desl. Base Blumenau'!$C$5:$S$15,13,FALSE())*($C$21+$D$21+$E$21*(VLOOKUP(Q7,'Desl. Base Blumenau'!$C$5:$S$15,17,FALSE())/12))</f>
        <v>71.0958333333333</v>
      </c>
      <c r="W7" s="24" t="n">
        <f aca="false">VLOOKUP(Q7,'Desl. Base Blumenau'!$C$5:$S$15,15,FALSE())*(2+(VLOOKUP(Q7,'Desl. Base Blumenau'!$C$5:$S$15,17,FALSE())/12))</f>
        <v>0</v>
      </c>
      <c r="X7" s="24" t="n">
        <f aca="false">VLOOKUP(Q7,'Desl. Base Blumenau'!$C$5:$Q$15,14,FALSE())</f>
        <v>0</v>
      </c>
      <c r="Y7" s="24" t="n">
        <f aca="false">VLOOKUP(Q7,'Desl. Base Blumenau'!$C$5:$Q$15,13,FALSE())*'Desl. Base Blumenau'!$E$20+'Desl. Base Blumenau'!$E$21*N7/12</f>
        <v>86.395375</v>
      </c>
      <c r="Z7" s="24" t="n">
        <f aca="false">(H7/$AC$5)*'Equipe Técnica'!$C$13</f>
        <v>344.021646143876</v>
      </c>
      <c r="AA7" s="24" t="n">
        <f aca="false">(I7/$AC$5)*'Equipe Técnica'!$C$13</f>
        <v>412.825975372651</v>
      </c>
      <c r="AB7" s="24" t="n">
        <f aca="false">(L7/$AC$5)*'Equipe Técnica'!$C$13</f>
        <v>837.119338950097</v>
      </c>
      <c r="AC7" s="24" t="n">
        <f aca="false">(M7/$AC$5)*'Equipe Técnica'!$C$13</f>
        <v>837.119338950097</v>
      </c>
      <c r="AD7" s="24" t="n">
        <f aca="false">R7+(($V7+$W7+$X7+$Y7)*12/19)+$Z7</f>
        <v>528.239777722823</v>
      </c>
      <c r="AE7" s="24" t="n">
        <f aca="false">S7+(($V7+$W7+$X7+$Y7)*12/19)+$AA7</f>
        <v>613.994106951598</v>
      </c>
      <c r="AF7" s="24" t="n">
        <f aca="false">T7+(($V7+$W7+$X7+$Y7)*12/19)+$AB7</f>
        <v>1142.81247052904</v>
      </c>
      <c r="AG7" s="24" t="n">
        <f aca="false">U7+(($V7+$W7+$X7+$Y7)*12/19)+$AC7</f>
        <v>1142.81247052904</v>
      </c>
      <c r="AI7" s="22" t="str">
        <f aca="false">B7</f>
        <v>APS BALNEÁRIO CAMBORIÚ</v>
      </c>
      <c r="AJ7" s="69" t="n">
        <f aca="false">VLOOKUP(AI7,Unidades!D$5:H$24,5,)</f>
        <v>0.2354</v>
      </c>
      <c r="AK7" s="48" t="n">
        <f aca="false">AD7*(1+$AJ7)</f>
        <v>652.587421398776</v>
      </c>
      <c r="AL7" s="48" t="n">
        <f aca="false">AE7*(1+$AJ7)</f>
        <v>758.528319728004</v>
      </c>
      <c r="AM7" s="48" t="n">
        <f aca="false">AF7*(1+$AJ7)</f>
        <v>1411.83052609158</v>
      </c>
      <c r="AN7" s="48" t="n">
        <f aca="false">AG7*(1+$AJ7)</f>
        <v>1411.83052609158</v>
      </c>
      <c r="AO7" s="48" t="n">
        <f aca="false">((AK7*12)+(AL7*4)+(AM7*2)+AN7)/12</f>
        <v>1258.38782616434</v>
      </c>
      <c r="AP7" s="48" t="n">
        <f aca="false">AO7*3</f>
        <v>3775.16347849302</v>
      </c>
      <c r="AQ7" s="48" t="n">
        <f aca="false">AO7+AP7</f>
        <v>5033.55130465736</v>
      </c>
      <c r="AR7" s="70"/>
      <c r="AS7" s="71" t="s">
        <v>82</v>
      </c>
      <c r="AT7" s="48" t="n">
        <f aca="false">AK18</f>
        <v>7687.12803755903</v>
      </c>
      <c r="AU7" s="48" t="n">
        <f aca="false">AL18</f>
        <v>8997.28839647154</v>
      </c>
      <c r="AV7" s="48" t="n">
        <f aca="false">AM18</f>
        <v>10476.461962861</v>
      </c>
      <c r="AW7" s="48" t="n">
        <f aca="false">AN18</f>
        <v>15612.0258771528</v>
      </c>
    </row>
    <row r="8" s="2" customFormat="true" ht="15" hidden="false" customHeight="true" outlineLevel="0" collapsed="false">
      <c r="B8" s="64" t="s">
        <v>83</v>
      </c>
      <c r="C8" s="65" t="n">
        <f aca="false">VLOOKUP($B8,Unidades!$D$5:$N$24,6,FALSE())</f>
        <v>1027.72</v>
      </c>
      <c r="D8" s="65" t="n">
        <f aca="false">VLOOKUP($B8,Unidades!$D$5:$N$24,7,FALSE())</f>
        <v>807.3</v>
      </c>
      <c r="E8" s="65" t="n">
        <f aca="false">VLOOKUP($B8,Unidades!$D$5:$N$24,8,FALSE())</f>
        <v>220.42</v>
      </c>
      <c r="F8" s="65" t="n">
        <f aca="false">VLOOKUP($B8,Unidades!$D$5:$N$24,9,FALSE())</f>
        <v>0</v>
      </c>
      <c r="G8" s="65" t="n">
        <f aca="false">D8+E8*$E$6+F8*$F$6</f>
        <v>884.447</v>
      </c>
      <c r="H8" s="66" t="n">
        <f aca="false">IF(G8&lt;750,1.5,IF(G8&lt;2000,2,3))</f>
        <v>2</v>
      </c>
      <c r="I8" s="66" t="n">
        <f aca="false">$I$6*H8</f>
        <v>2.4</v>
      </c>
      <c r="J8" s="66" t="str">
        <f aca="false">VLOOKUP($B8,Unidades!$D$5:$N$24,10,FALSE())</f>
        <v>SIM</v>
      </c>
      <c r="K8" s="66" t="str">
        <f aca="false">VLOOKUP($B8,Unidades!$D$5:$N$24,11,FALSE())</f>
        <v>NÃO</v>
      </c>
      <c r="L8" s="66" t="n">
        <f aca="false">$L$6*H8+(IF(J8="SIM",$J$6,0))</f>
        <v>4.2</v>
      </c>
      <c r="M8" s="66" t="n">
        <f aca="false">$M$6*H8+(IF(J8="SIM",$J$6,0))+(IF(K8="SIM",$K$6,0))</f>
        <v>4.2</v>
      </c>
      <c r="N8" s="66" t="n">
        <f aca="false">H8*12+I8*4+L8*2+M8</f>
        <v>46.2</v>
      </c>
      <c r="O8" s="67" t="n">
        <f aca="false">IF(K8="não", N8*(C$21+D$21),N8*(C$21+D$21)+(M8*+E$21))</f>
        <v>2610.3</v>
      </c>
      <c r="P8" s="68"/>
      <c r="Q8" s="22" t="str">
        <f aca="false">B8</f>
        <v>APS BRUSQUE</v>
      </c>
      <c r="R8" s="24" t="n">
        <f aca="false">H8*($C$21+$D$21)</f>
        <v>113</v>
      </c>
      <c r="S8" s="24" t="n">
        <f aca="false">I8*($C$21+$D$21)</f>
        <v>135.6</v>
      </c>
      <c r="T8" s="24" t="n">
        <f aca="false">L8*($C$21+$D$21)</f>
        <v>237.3</v>
      </c>
      <c r="U8" s="24" t="n">
        <f aca="false">IF(K8="não",M8*($C$21+$D$21),M8*(C$21+D$21+E$21))</f>
        <v>237.3</v>
      </c>
      <c r="V8" s="24" t="n">
        <f aca="false">VLOOKUP(Q8,'Desl. Base Blumenau'!$C$5:$S$15,13,FALSE())*($C$21+$D$21+$E$21*(VLOOKUP(Q8,'Desl. Base Blumenau'!$C$5:$S$15,17,FALSE())/12))</f>
        <v>71.0958333333333</v>
      </c>
      <c r="W8" s="24" t="n">
        <f aca="false">VLOOKUP(Q8,'Desl. Base Blumenau'!$C$5:$S$15,15,FALSE())*(2+(VLOOKUP(Q8,'Desl. Base Blumenau'!$C$5:$S$15,17,FALSE())/12))</f>
        <v>0</v>
      </c>
      <c r="X8" s="24" t="n">
        <f aca="false">VLOOKUP(Q8,'Desl. Base Blumenau'!$C$5:$Q$15,14,FALSE())</f>
        <v>0</v>
      </c>
      <c r="Y8" s="24" t="n">
        <f aca="false">VLOOKUP(Q8,'Desl. Base Blumenau'!$C$5:$Q$15,13,FALSE())*'Desl. Base Blumenau'!$E$20+'Desl. Base Blumenau'!$E$21*N8/12</f>
        <v>92.216</v>
      </c>
      <c r="Z8" s="24" t="n">
        <f aca="false">(H8/$AC$5)*'Equipe Técnica'!$C$13</f>
        <v>458.695528191834</v>
      </c>
      <c r="AA8" s="24" t="n">
        <f aca="false">(I8/$AC$5)*'Equipe Técnica'!$C$13</f>
        <v>550.434633830201</v>
      </c>
      <c r="AB8" s="24" t="n">
        <f aca="false">(L8/$AC$5)*'Equipe Técnica'!$C$13</f>
        <v>963.260609202852</v>
      </c>
      <c r="AC8" s="24" t="n">
        <f aca="false">(M8/$AC$5)*'Equipe Técnica'!$C$13</f>
        <v>963.260609202852</v>
      </c>
      <c r="AD8" s="24" t="n">
        <f aca="false">R8+(($V8+$W8+$X8+$Y8)*12/19)+$Z8</f>
        <v>674.839843981308</v>
      </c>
      <c r="AE8" s="24" t="n">
        <f aca="false">S8+(($V8+$W8+$X8+$Y8)*12/19)+$AA8</f>
        <v>789.178949619675</v>
      </c>
      <c r="AF8" s="24" t="n">
        <f aca="false">T8+(($V8+$W8+$X8+$Y8)*12/19)+$AB8</f>
        <v>1303.70492499233</v>
      </c>
      <c r="AG8" s="24" t="n">
        <f aca="false">U8+(($V8+$W8+$X8+$Y8)*12/19)+$AC8</f>
        <v>1303.70492499233</v>
      </c>
      <c r="AI8" s="22" t="str">
        <f aca="false">B8</f>
        <v>APS BRUSQUE</v>
      </c>
      <c r="AJ8" s="69" t="n">
        <f aca="false">VLOOKUP(AI8,Unidades!D$5:H$24,5,)</f>
        <v>0.2354</v>
      </c>
      <c r="AK8" s="48" t="n">
        <f aca="false">AD8*(1+$AJ8)</f>
        <v>833.697143254508</v>
      </c>
      <c r="AL8" s="48" t="n">
        <f aca="false">AE8*(1+$AJ8)</f>
        <v>974.951674360146</v>
      </c>
      <c r="AM8" s="48" t="n">
        <f aca="false">AF8*(1+$AJ8)</f>
        <v>1610.59706433552</v>
      </c>
      <c r="AN8" s="48" t="n">
        <f aca="false">AG8*(1+$AJ8)</f>
        <v>1610.59706433552</v>
      </c>
      <c r="AO8" s="48" t="n">
        <f aca="false">((AK8*12)+(AL8*4)+(AM8*2)+AN8)/12</f>
        <v>1561.33030079177</v>
      </c>
      <c r="AP8" s="48" t="n">
        <f aca="false">AO8*3</f>
        <v>4683.99090237531</v>
      </c>
      <c r="AQ8" s="48" t="n">
        <f aca="false">AO8+AP8</f>
        <v>6245.32120316708</v>
      </c>
      <c r="AR8" s="70"/>
      <c r="AS8" s="71" t="s">
        <v>84</v>
      </c>
      <c r="AT8" s="48" t="n">
        <f aca="false">AT7*12</f>
        <v>92245.5364507084</v>
      </c>
      <c r="AU8" s="48" t="n">
        <f aca="false">AU7*4</f>
        <v>35989.1535858862</v>
      </c>
      <c r="AV8" s="48" t="n">
        <f aca="false">AV7*2</f>
        <v>20952.9239257221</v>
      </c>
      <c r="AW8" s="48" t="n">
        <f aca="false">AW7</f>
        <v>15612.0258771528</v>
      </c>
    </row>
    <row r="9" s="2" customFormat="true" ht="15" hidden="false" customHeight="true" outlineLevel="0" collapsed="false">
      <c r="B9" s="64" t="s">
        <v>85</v>
      </c>
      <c r="C9" s="65" t="n">
        <f aca="false">VLOOKUP($B9,Unidades!$D$5:$N$24,6,FALSE())</f>
        <v>963</v>
      </c>
      <c r="D9" s="65" t="n">
        <f aca="false">VLOOKUP($B9,Unidades!$D$5:$N$24,7,FALSE())</f>
        <v>463</v>
      </c>
      <c r="E9" s="65" t="n">
        <f aca="false">VLOOKUP($B9,Unidades!$D$5:$N$24,8,FALSE())</f>
        <v>94</v>
      </c>
      <c r="F9" s="65" t="n">
        <f aca="false">VLOOKUP($B9,Unidades!$D$5:$N$24,9,FALSE())</f>
        <v>406</v>
      </c>
      <c r="G9" s="65" t="n">
        <f aca="false">D9+E9*$E$6+F9*$F$6</f>
        <v>536.5</v>
      </c>
      <c r="H9" s="66" t="n">
        <f aca="false">IF(G9&lt;750,1.5,IF(G9&lt;2000,2,3))</f>
        <v>1.5</v>
      </c>
      <c r="I9" s="66" t="n">
        <f aca="false">$I$6*H9</f>
        <v>1.8</v>
      </c>
      <c r="J9" s="66" t="str">
        <f aca="false">VLOOKUP($B9,Unidades!$D$5:$N$24,10,FALSE())</f>
        <v>NÃO</v>
      </c>
      <c r="K9" s="66" t="str">
        <f aca="false">VLOOKUP($B9,Unidades!$D$5:$N$24,11,FALSE())</f>
        <v>SIM</v>
      </c>
      <c r="L9" s="66" t="n">
        <f aca="false">$L$6*H9+(IF(J9="SIM",$J$6,0))</f>
        <v>1.65</v>
      </c>
      <c r="M9" s="66" t="n">
        <f aca="false">$M$6*H9+(IF(J9="SIM",$J$6,0))+(IF(K9="SIM",$K$6,0))</f>
        <v>5.65</v>
      </c>
      <c r="N9" s="66" t="n">
        <f aca="false">H9*12+I9*4+L9*2+M9</f>
        <v>34.15</v>
      </c>
      <c r="O9" s="67" t="n">
        <f aca="false">IF(K9="não", N9*(C$21+D$21),N9*(C$21+D$21)+(M9*+E$21))</f>
        <v>2161.6335</v>
      </c>
      <c r="P9" s="68"/>
      <c r="Q9" s="22" t="str">
        <f aca="false">B9</f>
        <v>APS IBIRAMA</v>
      </c>
      <c r="R9" s="24" t="n">
        <f aca="false">H9*($C$21+$D$21)</f>
        <v>84.75</v>
      </c>
      <c r="S9" s="24" t="n">
        <f aca="false">I9*($C$21+$D$21)</f>
        <v>101.7</v>
      </c>
      <c r="T9" s="24" t="n">
        <f aca="false">L9*($C$21+$D$21)</f>
        <v>93.225</v>
      </c>
      <c r="U9" s="24" t="n">
        <f aca="false">IF(K9="não",M9*($C$21+$D$21),M9*(C$21+D$21+E$21))</f>
        <v>551.3835</v>
      </c>
      <c r="V9" s="24" t="n">
        <f aca="false">VLOOKUP(Q9,'Desl. Base Blumenau'!$C$5:$S$15,13,FALSE())*($C$21+$D$21+$E$21*(VLOOKUP(Q9,'Desl. Base Blumenau'!$C$5:$S$15,17,FALSE())/12))</f>
        <v>101.371715277778</v>
      </c>
      <c r="W9" s="24" t="n">
        <f aca="false">VLOOKUP(Q9,'Desl. Base Blumenau'!$C$5:$S$15,15,FALSE())*(2+(VLOOKUP(Q9,'Desl. Base Blumenau'!$C$5:$S$15,17,FALSE())/12))</f>
        <v>0</v>
      </c>
      <c r="X9" s="24" t="n">
        <f aca="false">VLOOKUP(Q9,'Desl. Base Blumenau'!$C$5:$Q$15,14,FALSE())</f>
        <v>0</v>
      </c>
      <c r="Y9" s="24" t="n">
        <f aca="false">VLOOKUP(Q9,'Desl. Base Blumenau'!$C$5:$Q$15,13,FALSE())*'Desl. Base Blumenau'!$E$20+'Desl. Base Blumenau'!$E$21*N9/12</f>
        <v>107.779041666667</v>
      </c>
      <c r="Z9" s="24" t="n">
        <f aca="false">(H9/$AC$5)*'Equipe Técnica'!$C$13</f>
        <v>344.021646143876</v>
      </c>
      <c r="AA9" s="24" t="n">
        <f aca="false">(I9/$AC$5)*'Equipe Técnica'!$C$13</f>
        <v>412.825975372651</v>
      </c>
      <c r="AB9" s="24" t="n">
        <f aca="false">(L9/$AC$5)*'Equipe Técnica'!$C$13</f>
        <v>378.423810758263</v>
      </c>
      <c r="AC9" s="24" t="n">
        <f aca="false">(M9/$AC$5)*'Equipe Técnica'!$C$13</f>
        <v>1295.81486714193</v>
      </c>
      <c r="AD9" s="24" t="n">
        <f aca="false">R9+(($V9+$W9+$X9+$Y9)*12/19)+$Z9</f>
        <v>560.866861056157</v>
      </c>
      <c r="AE9" s="24" t="n">
        <f aca="false">S9+(($V9+$W9+$X9+$Y9)*12/19)+$AA9</f>
        <v>646.621190284932</v>
      </c>
      <c r="AF9" s="24" t="n">
        <f aca="false">T9+(($V9+$W9+$X9+$Y9)*12/19)+$AB9</f>
        <v>603.744025670544</v>
      </c>
      <c r="AG9" s="24" t="n">
        <f aca="false">U9+(($V9+$W9+$X9+$Y9)*12/19)+$AC9</f>
        <v>1979.29358205421</v>
      </c>
      <c r="AI9" s="22" t="str">
        <f aca="false">B9</f>
        <v>APS IBIRAMA</v>
      </c>
      <c r="AJ9" s="69" t="n">
        <f aca="false">VLOOKUP(AI9,Unidades!D$5:H$24,5,)</f>
        <v>0.2487</v>
      </c>
      <c r="AK9" s="48" t="n">
        <f aca="false">AD9*(1+$AJ9)</f>
        <v>700.354449400823</v>
      </c>
      <c r="AL9" s="48" t="n">
        <f aca="false">AE9*(1+$AJ9)</f>
        <v>807.435880308794</v>
      </c>
      <c r="AM9" s="48" t="n">
        <f aca="false">AF9*(1+$AJ9)</f>
        <v>753.895164854808</v>
      </c>
      <c r="AN9" s="48" t="n">
        <f aca="false">AG9*(1+$AJ9)</f>
        <v>2471.54389591109</v>
      </c>
      <c r="AO9" s="48" t="n">
        <f aca="false">((AK9*12)+(AL9*4)+(AM9*2)+AN9)/12</f>
        <v>1301.11092830548</v>
      </c>
      <c r="AP9" s="48" t="n">
        <f aca="false">AO9*3</f>
        <v>3903.33278491644</v>
      </c>
      <c r="AQ9" s="48" t="n">
        <f aca="false">AO9+AP9</f>
        <v>5204.44371322192</v>
      </c>
      <c r="AR9" s="70"/>
      <c r="AS9" s="70"/>
      <c r="AT9" s="72"/>
      <c r="AU9" s="72"/>
      <c r="AV9" s="72"/>
      <c r="AW9" s="72"/>
    </row>
    <row r="10" s="2" customFormat="true" ht="15" hidden="false" customHeight="true" outlineLevel="0" collapsed="false">
      <c r="B10" s="64" t="s">
        <v>86</v>
      </c>
      <c r="C10" s="65" t="n">
        <f aca="false">VLOOKUP($B10,Unidades!$D$5:$N$24,6,FALSE())</f>
        <v>204.1</v>
      </c>
      <c r="D10" s="65" t="n">
        <f aca="false">VLOOKUP($B10,Unidades!$D$5:$N$24,7,FALSE())</f>
        <v>137.18</v>
      </c>
      <c r="E10" s="65" t="n">
        <f aca="false">VLOOKUP($B10,Unidades!$D$5:$N$24,8,FALSE())</f>
        <v>66.92</v>
      </c>
      <c r="F10" s="65" t="n">
        <f aca="false">VLOOKUP($B10,Unidades!$D$5:$N$24,9,FALSE())</f>
        <v>0</v>
      </c>
      <c r="G10" s="65" t="n">
        <f aca="false">D10+E10*$E$6+F10*$F$6</f>
        <v>160.602</v>
      </c>
      <c r="H10" s="66" t="n">
        <f aca="false">IF(G10&lt;750,1.5,IF(G10&lt;2000,2,3))</f>
        <v>1.5</v>
      </c>
      <c r="I10" s="66" t="n">
        <f aca="false">$I$6*H10</f>
        <v>1.8</v>
      </c>
      <c r="J10" s="66" t="str">
        <f aca="false">VLOOKUP($B10,Unidades!$D$5:$N$24,10,FALSE())</f>
        <v>NÃO</v>
      </c>
      <c r="K10" s="66" t="str">
        <f aca="false">VLOOKUP($B10,Unidades!$D$5:$N$24,11,FALSE())</f>
        <v>NÃO</v>
      </c>
      <c r="L10" s="66" t="n">
        <f aca="false">$L$6*H10+(IF(J10="SIM",$J$6,0))</f>
        <v>1.65</v>
      </c>
      <c r="M10" s="66" t="n">
        <f aca="false">$M$6*H10+(IF(J10="SIM",$J$6,0))+(IF(K10="SIM",$K$6,0))</f>
        <v>1.65</v>
      </c>
      <c r="N10" s="66" t="n">
        <f aca="false">H10*12+I10*4+L10*2+M10</f>
        <v>30.15</v>
      </c>
      <c r="O10" s="67" t="n">
        <f aca="false">IF(K10="não", N10*(C$21+D$21),N10*(C$21+D$21)+(M10*+E$21))</f>
        <v>1703.475</v>
      </c>
      <c r="P10" s="68"/>
      <c r="Q10" s="22" t="str">
        <f aca="false">B10</f>
        <v>APS INDAIAL</v>
      </c>
      <c r="R10" s="24" t="n">
        <f aca="false">H10*($C$21+$D$21)</f>
        <v>84.75</v>
      </c>
      <c r="S10" s="24" t="n">
        <f aca="false">I10*($C$21+$D$21)</f>
        <v>101.7</v>
      </c>
      <c r="T10" s="24" t="n">
        <f aca="false">L10*($C$21+$D$21)</f>
        <v>93.225</v>
      </c>
      <c r="U10" s="24" t="n">
        <f aca="false">IF(K10="não",M10*($C$21+$D$21),M10*(C$21+D$21+E$21))</f>
        <v>93.225</v>
      </c>
      <c r="V10" s="24" t="n">
        <f aca="false">VLOOKUP(Q10,'Desl. Base Blumenau'!$C$5:$S$15,13,FALSE())*($C$21+$D$21+$E$21*(VLOOKUP(Q10,'Desl. Base Blumenau'!$C$5:$S$15,17,FALSE())/12))</f>
        <v>40.0208333333333</v>
      </c>
      <c r="W10" s="24" t="n">
        <f aca="false">VLOOKUP(Q10,'Desl. Base Blumenau'!$C$5:$S$15,15,FALSE())*(2+(VLOOKUP(Q10,'Desl. Base Blumenau'!$C$5:$S$15,17,FALSE())/12))</f>
        <v>0</v>
      </c>
      <c r="X10" s="24" t="n">
        <f aca="false">VLOOKUP(Q10,'Desl. Base Blumenau'!$C$5:$Q$15,14,FALSE())</f>
        <v>0</v>
      </c>
      <c r="Y10" s="24" t="n">
        <f aca="false">VLOOKUP(Q10,'Desl. Base Blumenau'!$C$5:$Q$15,13,FALSE())*'Desl. Base Blumenau'!$E$20+'Desl. Base Blumenau'!$E$21*N10/12</f>
        <v>54.309375</v>
      </c>
      <c r="Z10" s="24" t="n">
        <f aca="false">(H10/$AC$5)*'Equipe Técnica'!$C$13</f>
        <v>344.021646143876</v>
      </c>
      <c r="AA10" s="24" t="n">
        <f aca="false">(I10/$AC$5)*'Equipe Técnica'!$C$13</f>
        <v>412.825975372651</v>
      </c>
      <c r="AB10" s="24" t="n">
        <f aca="false">(L10/$AC$5)*'Equipe Técnica'!$C$13</f>
        <v>378.423810758263</v>
      </c>
      <c r="AC10" s="24" t="n">
        <f aca="false">(M10/$AC$5)*'Equipe Técnica'!$C$13</f>
        <v>378.423810758263</v>
      </c>
      <c r="AD10" s="24" t="n">
        <f aca="false">R10+(($V10+$W10+$X10+$Y10)*12/19)+$Z10</f>
        <v>488.348619828086</v>
      </c>
      <c r="AE10" s="24" t="n">
        <f aca="false">S10+(($V10+$W10+$X10+$Y10)*12/19)+$AA10</f>
        <v>574.102949056861</v>
      </c>
      <c r="AF10" s="24" t="n">
        <f aca="false">T10+(($V10+$W10+$X10+$Y10)*12/19)+$AB10</f>
        <v>531.225784442474</v>
      </c>
      <c r="AG10" s="24" t="n">
        <f aca="false">U10+(($V10+$W10+$X10+$Y10)*12/19)+$AC10</f>
        <v>531.225784442474</v>
      </c>
      <c r="AI10" s="22" t="str">
        <f aca="false">B10</f>
        <v>APS INDAIAL</v>
      </c>
      <c r="AJ10" s="69" t="n">
        <f aca="false">VLOOKUP(AI10,Unidades!D$5:H$24,5,)</f>
        <v>0.2354</v>
      </c>
      <c r="AK10" s="48" t="n">
        <f aca="false">AD10*(1+$AJ10)</f>
        <v>603.305884935618</v>
      </c>
      <c r="AL10" s="48" t="n">
        <f aca="false">AE10*(1+$AJ10)</f>
        <v>709.246783264846</v>
      </c>
      <c r="AM10" s="48" t="n">
        <f aca="false">AF10*(1+$AJ10)</f>
        <v>656.276334100232</v>
      </c>
      <c r="AN10" s="48" t="n">
        <f aca="false">AG10*(1+$AJ10)</f>
        <v>656.276334100232</v>
      </c>
      <c r="AO10" s="48" t="n">
        <f aca="false">((AK10*12)+(AL10*4)+(AM10*2)+AN10)/12</f>
        <v>1003.79056288229</v>
      </c>
      <c r="AP10" s="48" t="n">
        <f aca="false">AO10*3</f>
        <v>3011.37168864687</v>
      </c>
      <c r="AQ10" s="48" t="n">
        <f aca="false">AO10+AP10</f>
        <v>4015.16225152916</v>
      </c>
      <c r="AR10" s="70"/>
      <c r="AS10" s="73" t="s">
        <v>72</v>
      </c>
      <c r="AT10" s="48" t="n">
        <f aca="false">(SUM(AT8:AW8))/12</f>
        <v>13733.3033199558</v>
      </c>
      <c r="AU10" s="48"/>
      <c r="AV10" s="72"/>
      <c r="AW10" s="72"/>
    </row>
    <row r="11" customFormat="false" ht="15" hidden="false" customHeight="true" outlineLevel="0" collapsed="false">
      <c r="A11" s="2"/>
      <c r="B11" s="64" t="s">
        <v>87</v>
      </c>
      <c r="C11" s="65" t="n">
        <f aca="false">VLOOKUP($B11,Unidades!$D$5:$N$24,6,FALSE())</f>
        <v>3189</v>
      </c>
      <c r="D11" s="65" t="n">
        <f aca="false">VLOOKUP($B11,Unidades!$D$5:$N$24,7,FALSE())</f>
        <v>1510.13</v>
      </c>
      <c r="E11" s="65" t="n">
        <f aca="false">VLOOKUP($B11,Unidades!$D$5:$N$24,8,FALSE())</f>
        <v>678.42</v>
      </c>
      <c r="F11" s="65" t="n">
        <f aca="false">VLOOKUP($B11,Unidades!$D$5:$N$24,9,FALSE())</f>
        <v>1000.45</v>
      </c>
      <c r="G11" s="65" t="n">
        <f aca="false">D11+E11*$E$6+F11*$F$6</f>
        <v>1847.622</v>
      </c>
      <c r="H11" s="66" t="n">
        <f aca="false">IF(G11&lt;750,1.5,IF(G11&lt;2000,2,3))</f>
        <v>2</v>
      </c>
      <c r="I11" s="66" t="n">
        <f aca="false">$I$6*H11</f>
        <v>2.4</v>
      </c>
      <c r="J11" s="66" t="str">
        <f aca="false">VLOOKUP($B11,Unidades!$D$5:$N$24,10,FALSE())</f>
        <v>NÃO</v>
      </c>
      <c r="K11" s="66" t="str">
        <f aca="false">VLOOKUP($B11,Unidades!$D$5:$N$24,11,FALSE())</f>
        <v>SIM</v>
      </c>
      <c r="L11" s="66" t="n">
        <f aca="false">$L$6*H11+(IF(J11="SIM",$J$6,0))</f>
        <v>2.2</v>
      </c>
      <c r="M11" s="66" t="n">
        <f aca="false">$M$6*H11+(IF(J11="SIM",$J$6,0))+(IF(K11="SIM",$K$6,0))</f>
        <v>6.2</v>
      </c>
      <c r="N11" s="66" t="n">
        <f aca="false">H11*12+I11*4+L11*2+M11</f>
        <v>44.2</v>
      </c>
      <c r="O11" s="67" t="n">
        <f aca="false">IF(K11="não", N11*(C$21+D$21),N11*(C$21+D$21)+(M11*+E$21))</f>
        <v>2752.058</v>
      </c>
      <c r="P11" s="68"/>
      <c r="Q11" s="22" t="str">
        <f aca="false">B11</f>
        <v>APS ITAJAÍ</v>
      </c>
      <c r="R11" s="24" t="n">
        <f aca="false">H11*($C$21+$D$21)</f>
        <v>113</v>
      </c>
      <c r="S11" s="24" t="n">
        <f aca="false">I11*($C$21+$D$21)</f>
        <v>135.6</v>
      </c>
      <c r="T11" s="24" t="n">
        <f aca="false">L11*($C$21+$D$21)</f>
        <v>124.3</v>
      </c>
      <c r="U11" s="24" t="n">
        <f aca="false">IF(K11="não",M11*($C$21+$D$21),M11*(C$21+D$21+E$21))</f>
        <v>605.058</v>
      </c>
      <c r="V11" s="24" t="n">
        <f aca="false">VLOOKUP(Q11,'Desl. Base Blumenau'!$C$5:$S$15,13,FALSE())*($C$21+$D$21+$E$21*(VLOOKUP(Q11,'Desl. Base Blumenau'!$C$5:$S$15,17,FALSE())/12))</f>
        <v>71.4096319444444</v>
      </c>
      <c r="W11" s="24" t="n">
        <f aca="false">VLOOKUP(Q11,'Desl. Base Blumenau'!$C$5:$S$15,15,FALSE())*(2+(VLOOKUP(Q11,'Desl. Base Blumenau'!$C$5:$S$15,17,FALSE())/12))</f>
        <v>0</v>
      </c>
      <c r="X11" s="24" t="n">
        <f aca="false">VLOOKUP(Q11,'Desl. Base Blumenau'!$C$5:$Q$15,14,FALSE())</f>
        <v>0</v>
      </c>
      <c r="Y11" s="24" t="n">
        <f aca="false">VLOOKUP(Q11,'Desl. Base Blumenau'!$C$5:$Q$15,13,FALSE())*'Desl. Base Blumenau'!$E$20+'Desl. Base Blumenau'!$E$21*N11/12</f>
        <v>87.5896666666667</v>
      </c>
      <c r="Z11" s="24" t="n">
        <f aca="false">(H11/$AC$5)*'Equipe Técnica'!$C$13</f>
        <v>458.695528191834</v>
      </c>
      <c r="AA11" s="24" t="n">
        <f aca="false">(I11/$AC$5)*'Equipe Técnica'!$C$13</f>
        <v>550.434633830201</v>
      </c>
      <c r="AB11" s="24" t="n">
        <f aca="false">(L11/$AC$5)*'Equipe Técnica'!$C$13</f>
        <v>504.565081011018</v>
      </c>
      <c r="AC11" s="24" t="n">
        <f aca="false">(M11/$AC$5)*'Equipe Técnica'!$C$13</f>
        <v>1421.95613739469</v>
      </c>
      <c r="AD11" s="24" t="n">
        <f aca="false">R11+(($V11+$W11+$X11+$Y11)*12/19)+$Z11</f>
        <v>672.116137840957</v>
      </c>
      <c r="AE11" s="24" t="n">
        <f aca="false">S11+(($V11+$W11+$X11+$Y11)*12/19)+$AA11</f>
        <v>786.455243479324</v>
      </c>
      <c r="AF11" s="24" t="n">
        <f aca="false">T11+(($V11+$W11+$X11+$Y11)*12/19)+$AB11</f>
        <v>729.28569066014</v>
      </c>
      <c r="AG11" s="24" t="n">
        <f aca="false">U11+(($V11+$W11+$X11+$Y11)*12/19)+$AC11</f>
        <v>2127.43474704381</v>
      </c>
      <c r="AH11" s="2"/>
      <c r="AI11" s="22" t="str">
        <f aca="false">B11</f>
        <v>APS ITAJAÍ</v>
      </c>
      <c r="AJ11" s="69" t="n">
        <f aca="false">VLOOKUP(AI11,Unidades!D$5:H$24,5,)</f>
        <v>0.2223</v>
      </c>
      <c r="AK11" s="48" t="n">
        <f aca="false">AD11*(1+$AJ11)</f>
        <v>821.527555283002</v>
      </c>
      <c r="AL11" s="48" t="n">
        <f aca="false">AE11*(1+$AJ11)</f>
        <v>961.284244104777</v>
      </c>
      <c r="AM11" s="48" t="n">
        <f aca="false">AF11*(1+$AJ11)</f>
        <v>891.405899693889</v>
      </c>
      <c r="AN11" s="48" t="n">
        <f aca="false">AG11*(1+$AJ11)</f>
        <v>2600.36349131165</v>
      </c>
      <c r="AO11" s="48" t="n">
        <f aca="false">((AK11*12)+(AL11*4)+(AM11*2)+AN11)/12</f>
        <v>1507.22024420955</v>
      </c>
      <c r="AP11" s="48" t="n">
        <f aca="false">AO11*3</f>
        <v>4521.66073262864</v>
      </c>
      <c r="AQ11" s="48" t="n">
        <f aca="false">AO11+AP11</f>
        <v>6028.88097683818</v>
      </c>
      <c r="AR11" s="70"/>
      <c r="AS11" s="73" t="s">
        <v>88</v>
      </c>
      <c r="AT11" s="48" t="n">
        <f aca="false">AT10*12</f>
        <v>164799.639839469</v>
      </c>
      <c r="AU11" s="48"/>
      <c r="AV11" s="72"/>
      <c r="AW11" s="7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"/>
      <c r="NH11" s="2"/>
      <c r="NI11" s="2"/>
      <c r="NJ11" s="2"/>
      <c r="NK11" s="2"/>
      <c r="NL11" s="2"/>
      <c r="NM11" s="2"/>
      <c r="NN11" s="2"/>
      <c r="NO11" s="2"/>
      <c r="NP11" s="2"/>
      <c r="NQ11" s="2"/>
      <c r="NR11" s="2"/>
      <c r="NS11" s="2"/>
      <c r="NT11" s="2"/>
      <c r="NU11" s="2"/>
      <c r="NV11" s="2"/>
      <c r="NW11" s="2"/>
      <c r="NX11" s="2"/>
      <c r="NY11" s="2"/>
      <c r="NZ11" s="2"/>
      <c r="OA11" s="2"/>
      <c r="OB11" s="2"/>
      <c r="OC11" s="2"/>
      <c r="OD11" s="2"/>
      <c r="OE11" s="2"/>
      <c r="OF11" s="2"/>
      <c r="OG11" s="2"/>
      <c r="OH11" s="2"/>
      <c r="OI11" s="2"/>
      <c r="OJ11" s="2"/>
      <c r="OK11" s="2"/>
      <c r="OL11" s="2"/>
      <c r="OM11" s="2"/>
      <c r="ON11" s="2"/>
      <c r="OO11" s="2"/>
      <c r="OP11" s="2"/>
      <c r="OQ11" s="2"/>
      <c r="OR11" s="2"/>
      <c r="OS11" s="2"/>
      <c r="OT11" s="2"/>
      <c r="OU11" s="2"/>
      <c r="OV11" s="2"/>
      <c r="OW11" s="2"/>
      <c r="OX11" s="2"/>
      <c r="OY11" s="2"/>
      <c r="OZ11" s="2"/>
      <c r="PA11" s="2"/>
      <c r="PB11" s="2"/>
      <c r="PC11" s="2"/>
      <c r="PD11" s="2"/>
      <c r="PE11" s="2"/>
      <c r="PF11" s="2"/>
      <c r="PG11" s="2"/>
      <c r="PH11" s="2"/>
      <c r="PI11" s="2"/>
      <c r="PJ11" s="2"/>
      <c r="PK11" s="2"/>
      <c r="PL11" s="2"/>
      <c r="PM11" s="2"/>
      <c r="PN11" s="2"/>
      <c r="PO11" s="2"/>
      <c r="PP11" s="2"/>
      <c r="PQ11" s="2"/>
      <c r="PR11" s="2"/>
      <c r="PS11" s="2"/>
      <c r="PT11" s="2"/>
      <c r="PU11" s="2"/>
      <c r="PV11" s="2"/>
      <c r="PW11" s="2"/>
      <c r="PX11" s="2"/>
      <c r="PY11" s="2"/>
      <c r="PZ11" s="2"/>
      <c r="QA11" s="2"/>
      <c r="QB11" s="2"/>
      <c r="QC11" s="2"/>
      <c r="QD11" s="2"/>
      <c r="QE11" s="2"/>
      <c r="QF11" s="2"/>
      <c r="QG11" s="2"/>
      <c r="QH11" s="2"/>
      <c r="QI11" s="2"/>
      <c r="QJ11" s="2"/>
      <c r="QK11" s="2"/>
      <c r="QL11" s="2"/>
      <c r="QM11" s="2"/>
      <c r="QN11" s="2"/>
      <c r="QO11" s="2"/>
      <c r="QP11" s="2"/>
      <c r="QQ11" s="2"/>
      <c r="QR11" s="2"/>
      <c r="QS11" s="2"/>
      <c r="QT11" s="2"/>
      <c r="QU11" s="2"/>
      <c r="QV11" s="2"/>
      <c r="QW11" s="2"/>
      <c r="QX11" s="2"/>
      <c r="QY11" s="2"/>
      <c r="QZ11" s="2"/>
      <c r="RA11" s="2"/>
      <c r="RB11" s="2"/>
      <c r="RC11" s="2"/>
      <c r="RD11" s="2"/>
      <c r="RE11" s="2"/>
      <c r="RF11" s="2"/>
      <c r="RG11" s="2"/>
      <c r="RH11" s="2"/>
      <c r="RI11" s="2"/>
      <c r="RJ11" s="2"/>
      <c r="RK11" s="2"/>
      <c r="RL11" s="2"/>
      <c r="RM11" s="2"/>
      <c r="RN11" s="2"/>
      <c r="RO11" s="2"/>
      <c r="RP11" s="2"/>
      <c r="RQ11" s="2"/>
      <c r="RR11" s="2"/>
      <c r="RS11" s="2"/>
      <c r="RT11" s="2"/>
      <c r="RU11" s="2"/>
      <c r="RV11" s="2"/>
      <c r="RW11" s="2"/>
      <c r="RX11" s="2"/>
      <c r="RY11" s="2"/>
      <c r="RZ11" s="2"/>
      <c r="SA11" s="2"/>
      <c r="SB11" s="2"/>
      <c r="SC11" s="2"/>
      <c r="SD11" s="2"/>
      <c r="SE11" s="2"/>
      <c r="SF11" s="2"/>
      <c r="SG11" s="2"/>
      <c r="SH11" s="2"/>
      <c r="SI11" s="2"/>
      <c r="SJ11" s="2"/>
      <c r="SK11" s="2"/>
      <c r="SL11" s="2"/>
      <c r="SM11" s="2"/>
      <c r="SN11" s="2"/>
      <c r="SO11" s="2"/>
      <c r="SP11" s="2"/>
      <c r="SQ11" s="2"/>
      <c r="SR11" s="2"/>
      <c r="SS11" s="2"/>
      <c r="ST11" s="2"/>
      <c r="SU11" s="2"/>
      <c r="SV11" s="2"/>
      <c r="SW11" s="2"/>
      <c r="SX11" s="2"/>
      <c r="SY11" s="2"/>
      <c r="SZ11" s="2"/>
      <c r="TA11" s="2"/>
      <c r="TB11" s="2"/>
      <c r="TC11" s="2"/>
      <c r="TD11" s="2"/>
      <c r="TE11" s="2"/>
      <c r="TF11" s="2"/>
      <c r="TG11" s="2"/>
      <c r="TH11" s="2"/>
      <c r="TI11" s="2"/>
      <c r="TJ11" s="2"/>
      <c r="TK11" s="2"/>
      <c r="TL11" s="2"/>
      <c r="TM11" s="2"/>
      <c r="TN11" s="2"/>
      <c r="TO11" s="2"/>
      <c r="TP11" s="2"/>
      <c r="TQ11" s="2"/>
      <c r="TR11" s="2"/>
      <c r="TS11" s="2"/>
      <c r="TT11" s="2"/>
      <c r="TU11" s="2"/>
      <c r="TV11" s="2"/>
      <c r="TW11" s="2"/>
      <c r="TX11" s="2"/>
      <c r="TY11" s="2"/>
      <c r="TZ11" s="2"/>
      <c r="UA11" s="2"/>
      <c r="UB11" s="2"/>
      <c r="UC11" s="2"/>
      <c r="UD11" s="2"/>
      <c r="UE11" s="2"/>
      <c r="UF11" s="2"/>
      <c r="UG11" s="2"/>
      <c r="UH11" s="2"/>
      <c r="UI11" s="2"/>
      <c r="UJ11" s="2"/>
      <c r="UK11" s="2"/>
      <c r="UL11" s="2"/>
      <c r="UM11" s="2"/>
      <c r="UN11" s="2"/>
      <c r="UO11" s="2"/>
      <c r="UP11" s="2"/>
      <c r="UQ11" s="2"/>
      <c r="UR11" s="2"/>
      <c r="US11" s="2"/>
      <c r="UT11" s="2"/>
      <c r="UU11" s="2"/>
      <c r="UV11" s="2"/>
      <c r="UW11" s="2"/>
      <c r="UX11" s="2"/>
      <c r="UY11" s="2"/>
      <c r="UZ11" s="2"/>
      <c r="VA11" s="2"/>
      <c r="VB11" s="2"/>
      <c r="VC11" s="2"/>
      <c r="VD11" s="2"/>
      <c r="VE11" s="2"/>
      <c r="VF11" s="2"/>
      <c r="VG11" s="2"/>
      <c r="VH11" s="2"/>
      <c r="VI11" s="2"/>
      <c r="VJ11" s="2"/>
      <c r="VK11" s="2"/>
      <c r="VL11" s="2"/>
      <c r="VM11" s="2"/>
      <c r="VN11" s="2"/>
      <c r="VO11" s="2"/>
      <c r="VP11" s="2"/>
      <c r="VQ11" s="2"/>
      <c r="VR11" s="2"/>
      <c r="VS11" s="2"/>
      <c r="VT11" s="2"/>
      <c r="VU11" s="2"/>
      <c r="VV11" s="2"/>
      <c r="VW11" s="2"/>
      <c r="VX11" s="2"/>
      <c r="VY11" s="2"/>
      <c r="VZ11" s="2"/>
      <c r="WA11" s="2"/>
      <c r="WB11" s="2"/>
      <c r="WC11" s="2"/>
      <c r="WD11" s="2"/>
      <c r="WE11" s="2"/>
      <c r="WF11" s="2"/>
      <c r="WG11" s="2"/>
      <c r="WH11" s="2"/>
      <c r="WI11" s="2"/>
      <c r="WJ11" s="2"/>
      <c r="WK11" s="2"/>
      <c r="WL11" s="2"/>
      <c r="WM11" s="2"/>
      <c r="WN11" s="2"/>
      <c r="WO11" s="2"/>
      <c r="WP11" s="2"/>
      <c r="WQ11" s="2"/>
      <c r="WR11" s="2"/>
      <c r="WS11" s="2"/>
      <c r="WT11" s="2"/>
      <c r="WU11" s="2"/>
      <c r="WV11" s="2"/>
      <c r="WW11" s="2"/>
      <c r="WX11" s="2"/>
      <c r="WY11" s="2"/>
      <c r="WZ11" s="2"/>
      <c r="XA11" s="2"/>
      <c r="XB11" s="2"/>
      <c r="XC11" s="2"/>
      <c r="XD11" s="2"/>
      <c r="XE11" s="2"/>
      <c r="XF11" s="2"/>
      <c r="XG11" s="2"/>
      <c r="XH11" s="2"/>
      <c r="XI11" s="2"/>
      <c r="XJ11" s="2"/>
      <c r="XK11" s="2"/>
      <c r="XL11" s="2"/>
      <c r="XM11" s="2"/>
      <c r="XN11" s="2"/>
      <c r="XO11" s="2"/>
      <c r="XP11" s="2"/>
      <c r="XQ11" s="2"/>
      <c r="XR11" s="2"/>
      <c r="XS11" s="2"/>
      <c r="XT11" s="2"/>
      <c r="XU11" s="2"/>
      <c r="XV11" s="2"/>
      <c r="XW11" s="2"/>
      <c r="XX11" s="2"/>
      <c r="XY11" s="2"/>
      <c r="XZ11" s="2"/>
      <c r="YA11" s="2"/>
      <c r="YB11" s="2"/>
      <c r="YC11" s="2"/>
      <c r="YD11" s="2"/>
      <c r="YE11" s="2"/>
      <c r="YF11" s="2"/>
      <c r="YG11" s="2"/>
      <c r="YH11" s="2"/>
      <c r="YI11" s="2"/>
      <c r="YJ11" s="2"/>
      <c r="YK11" s="2"/>
      <c r="YL11" s="2"/>
      <c r="YM11" s="2"/>
      <c r="YN11" s="2"/>
      <c r="YO11" s="2"/>
      <c r="YP11" s="2"/>
      <c r="YQ11" s="2"/>
      <c r="YR11" s="2"/>
      <c r="YS11" s="2"/>
      <c r="YT11" s="2"/>
      <c r="YU11" s="2"/>
      <c r="YV11" s="2"/>
      <c r="YW11" s="2"/>
      <c r="YX11" s="2"/>
      <c r="YY11" s="2"/>
      <c r="YZ11" s="2"/>
      <c r="ZA11" s="2"/>
      <c r="ZB11" s="2"/>
      <c r="ZC11" s="2"/>
      <c r="ZD11" s="2"/>
      <c r="ZE11" s="2"/>
      <c r="ZF11" s="2"/>
      <c r="ZG11" s="2"/>
      <c r="ZH11" s="2"/>
      <c r="ZI11" s="2"/>
      <c r="ZJ11" s="2"/>
      <c r="ZK11" s="2"/>
      <c r="ZL11" s="2"/>
      <c r="ZM11" s="2"/>
      <c r="ZN11" s="2"/>
      <c r="ZO11" s="2"/>
      <c r="ZP11" s="2"/>
      <c r="ZQ11" s="2"/>
      <c r="ZR11" s="2"/>
      <c r="ZS11" s="2"/>
      <c r="ZT11" s="2"/>
      <c r="ZU11" s="2"/>
      <c r="ZV11" s="2"/>
      <c r="ZW11" s="2"/>
      <c r="ZX11" s="2"/>
      <c r="ZY11" s="2"/>
      <c r="ZZ11" s="2"/>
      <c r="AAA11" s="2"/>
      <c r="AAB11" s="2"/>
      <c r="AAC11" s="2"/>
      <c r="AAD11" s="2"/>
      <c r="AAE11" s="2"/>
      <c r="AAF11" s="2"/>
      <c r="AAG11" s="2"/>
      <c r="AAH11" s="2"/>
      <c r="AAI11" s="2"/>
      <c r="AAJ11" s="2"/>
      <c r="AAK11" s="2"/>
      <c r="AAL11" s="2"/>
      <c r="AAM11" s="2"/>
      <c r="AAN11" s="2"/>
      <c r="AAO11" s="2"/>
      <c r="AAP11" s="2"/>
      <c r="AAQ11" s="2"/>
      <c r="AAR11" s="2"/>
      <c r="AAS11" s="2"/>
      <c r="AAT11" s="2"/>
      <c r="AAU11" s="2"/>
      <c r="AAV11" s="2"/>
      <c r="AAW11" s="2"/>
      <c r="AAX11" s="2"/>
      <c r="AAY11" s="2"/>
      <c r="AAZ11" s="2"/>
      <c r="ABA11" s="2"/>
      <c r="ABB11" s="2"/>
      <c r="ABC11" s="2"/>
      <c r="ABD11" s="2"/>
      <c r="ABE11" s="2"/>
      <c r="ABF11" s="2"/>
      <c r="ABG11" s="2"/>
      <c r="ABH11" s="2"/>
      <c r="ABI11" s="2"/>
      <c r="ABJ11" s="2"/>
      <c r="ABK11" s="2"/>
      <c r="ABL11" s="2"/>
      <c r="ABM11" s="2"/>
      <c r="ABN11" s="2"/>
      <c r="ABO11" s="2"/>
      <c r="ABP11" s="2"/>
      <c r="ABQ11" s="2"/>
      <c r="ABR11" s="2"/>
      <c r="ABS11" s="2"/>
      <c r="ABT11" s="2"/>
      <c r="ABU11" s="2"/>
      <c r="ABV11" s="2"/>
      <c r="ABW11" s="2"/>
      <c r="ABX11" s="2"/>
      <c r="ABY11" s="2"/>
      <c r="ABZ11" s="2"/>
      <c r="ACA11" s="2"/>
      <c r="ACB11" s="2"/>
      <c r="ACC11" s="2"/>
      <c r="ACD11" s="2"/>
      <c r="ACE11" s="2"/>
      <c r="ACF11" s="2"/>
      <c r="ACG11" s="2"/>
      <c r="ACH11" s="2"/>
      <c r="ACI11" s="2"/>
      <c r="ACJ11" s="2"/>
      <c r="ACK11" s="2"/>
      <c r="ACL11" s="2"/>
      <c r="ACM11" s="2"/>
      <c r="ACN11" s="2"/>
      <c r="ACO11" s="2"/>
      <c r="ACP11" s="2"/>
      <c r="ACQ11" s="2"/>
      <c r="ACR11" s="2"/>
      <c r="ACS11" s="2"/>
      <c r="ACT11" s="2"/>
      <c r="ACU11" s="2"/>
      <c r="ACV11" s="2"/>
      <c r="ACW11" s="2"/>
      <c r="ACX11" s="2"/>
      <c r="ACY11" s="2"/>
      <c r="ACZ11" s="2"/>
      <c r="ADA11" s="2"/>
      <c r="ADB11" s="2"/>
      <c r="ADC11" s="2"/>
      <c r="ADD11" s="2"/>
      <c r="ADE11" s="2"/>
      <c r="ADF11" s="2"/>
      <c r="ADG11" s="2"/>
      <c r="ADH11" s="2"/>
      <c r="ADI11" s="2"/>
      <c r="ADJ11" s="2"/>
      <c r="ADK11" s="2"/>
      <c r="ADL11" s="2"/>
      <c r="ADM11" s="2"/>
      <c r="ADN11" s="2"/>
      <c r="ADO11" s="2"/>
      <c r="ADP11" s="2"/>
      <c r="ADQ11" s="2"/>
      <c r="ADR11" s="2"/>
      <c r="ADS11" s="2"/>
      <c r="ADT11" s="2"/>
      <c r="ADU11" s="2"/>
      <c r="ADV11" s="2"/>
      <c r="ADW11" s="2"/>
      <c r="ADX11" s="2"/>
      <c r="ADY11" s="2"/>
      <c r="ADZ11" s="2"/>
      <c r="AEA11" s="2"/>
      <c r="AEB11" s="2"/>
      <c r="AEC11" s="2"/>
      <c r="AED11" s="2"/>
      <c r="AEE11" s="2"/>
      <c r="AEF11" s="2"/>
      <c r="AEG11" s="2"/>
      <c r="AEH11" s="2"/>
      <c r="AEI11" s="2"/>
      <c r="AEJ11" s="2"/>
      <c r="AEK11" s="2"/>
      <c r="AEL11" s="2"/>
      <c r="AEM11" s="2"/>
      <c r="AEN11" s="2"/>
      <c r="AEO11" s="2"/>
      <c r="AEP11" s="2"/>
      <c r="AEQ11" s="2"/>
      <c r="AER11" s="2"/>
      <c r="AES11" s="2"/>
      <c r="AET11" s="2"/>
      <c r="AEU11" s="2"/>
      <c r="AEV11" s="2"/>
      <c r="AEW11" s="2"/>
      <c r="AEX11" s="2"/>
      <c r="AEY11" s="2"/>
      <c r="AEZ11" s="2"/>
      <c r="AFA11" s="2"/>
      <c r="AFB11" s="2"/>
      <c r="AFC11" s="2"/>
      <c r="AFD11" s="2"/>
      <c r="AFE11" s="2"/>
      <c r="AFF11" s="2"/>
      <c r="AFG11" s="2"/>
      <c r="AFH11" s="2"/>
      <c r="AFI11" s="2"/>
      <c r="AFJ11" s="2"/>
      <c r="AFK11" s="2"/>
      <c r="AFL11" s="2"/>
      <c r="AFM11" s="2"/>
      <c r="AFN11" s="2"/>
      <c r="AFO11" s="2"/>
      <c r="AFP11" s="2"/>
      <c r="AFQ11" s="2"/>
      <c r="AFR11" s="2"/>
      <c r="AFS11" s="2"/>
      <c r="AFT11" s="2"/>
      <c r="AFU11" s="2"/>
      <c r="AFV11" s="2"/>
      <c r="AFW11" s="2"/>
      <c r="AFX11" s="2"/>
      <c r="AFY11" s="2"/>
      <c r="AFZ11" s="2"/>
      <c r="AGA11" s="2"/>
      <c r="AGB11" s="2"/>
      <c r="AGC11" s="2"/>
      <c r="AGD11" s="2"/>
      <c r="AGE11" s="2"/>
      <c r="AGF11" s="2"/>
      <c r="AGG11" s="2"/>
      <c r="AGH11" s="2"/>
      <c r="AGI11" s="2"/>
      <c r="AGJ11" s="2"/>
      <c r="AGK11" s="2"/>
      <c r="AGL11" s="2"/>
      <c r="AGM11" s="2"/>
      <c r="AGN11" s="2"/>
      <c r="AGO11" s="2"/>
      <c r="AGP11" s="2"/>
      <c r="AGQ11" s="2"/>
      <c r="AGR11" s="2"/>
      <c r="AGS11" s="2"/>
      <c r="AGT11" s="2"/>
      <c r="AGU11" s="2"/>
      <c r="AGV11" s="2"/>
      <c r="AGW11" s="2"/>
      <c r="AGX11" s="2"/>
      <c r="AGY11" s="2"/>
      <c r="AGZ11" s="2"/>
      <c r="AHA11" s="2"/>
      <c r="AHB11" s="2"/>
      <c r="AHC11" s="2"/>
      <c r="AHD11" s="2"/>
      <c r="AHE11" s="2"/>
      <c r="AHF11" s="2"/>
      <c r="AHG11" s="2"/>
      <c r="AHH11" s="2"/>
      <c r="AHI11" s="2"/>
      <c r="AHJ11" s="2"/>
      <c r="AHK11" s="2"/>
      <c r="AHL11" s="2"/>
      <c r="AHM11" s="2"/>
      <c r="AHN11" s="2"/>
      <c r="AHO11" s="2"/>
      <c r="AHP11" s="2"/>
      <c r="AHQ11" s="2"/>
      <c r="AHR11" s="2"/>
      <c r="AHS11" s="2"/>
      <c r="AHT11" s="2"/>
      <c r="AHU11" s="2"/>
      <c r="AHV11" s="2"/>
      <c r="AHW11" s="2"/>
      <c r="AHX11" s="2"/>
      <c r="AHY11" s="2"/>
      <c r="AHZ11" s="2"/>
      <c r="AIA11" s="2"/>
      <c r="AIB11" s="2"/>
      <c r="AIC11" s="2"/>
      <c r="AID11" s="2"/>
      <c r="AIE11" s="2"/>
      <c r="AIF11" s="2"/>
      <c r="AIG11" s="2"/>
      <c r="AIH11" s="2"/>
      <c r="AII11" s="2"/>
      <c r="AIJ11" s="2"/>
      <c r="AIK11" s="2"/>
      <c r="AIL11" s="2"/>
      <c r="AIM11" s="2"/>
      <c r="AIN11" s="2"/>
      <c r="AIO11" s="2"/>
      <c r="AIP11" s="2"/>
      <c r="AIQ11" s="2"/>
      <c r="AIR11" s="2"/>
      <c r="AIS11" s="2"/>
      <c r="AIT11" s="2"/>
      <c r="AIU11" s="2"/>
      <c r="AIV11" s="2"/>
      <c r="AIW11" s="2"/>
      <c r="AIX11" s="2"/>
      <c r="AIY11" s="2"/>
      <c r="AIZ11" s="2"/>
      <c r="AJA11" s="2"/>
      <c r="AJB11" s="2"/>
      <c r="AJC11" s="2"/>
      <c r="AJD11" s="2"/>
      <c r="AJE11" s="2"/>
      <c r="AJF11" s="2"/>
      <c r="AJG11" s="2"/>
      <c r="AJH11" s="2"/>
      <c r="AJI11" s="2"/>
      <c r="AJJ11" s="2"/>
      <c r="AJK11" s="2"/>
      <c r="AJL11" s="2"/>
      <c r="AJM11" s="2"/>
      <c r="AJN11" s="2"/>
      <c r="AJO11" s="2"/>
      <c r="AJP11" s="2"/>
      <c r="AJQ11" s="2"/>
      <c r="AJR11" s="2"/>
      <c r="AJS11" s="2"/>
      <c r="AJT11" s="2"/>
      <c r="AJU11" s="2"/>
      <c r="AJV11" s="2"/>
      <c r="AJW11" s="2"/>
      <c r="AJX11" s="2"/>
      <c r="AJY11" s="2"/>
      <c r="AJZ11" s="2"/>
      <c r="AKA11" s="2"/>
      <c r="AKB11" s="2"/>
      <c r="AKC11" s="2"/>
      <c r="AKD11" s="2"/>
      <c r="AKE11" s="2"/>
      <c r="AKF11" s="2"/>
      <c r="AKG11" s="2"/>
      <c r="AKH11" s="2"/>
      <c r="AKI11" s="2"/>
      <c r="AKJ11" s="2"/>
      <c r="AKK11" s="2"/>
      <c r="AKL11" s="2"/>
      <c r="AKM11" s="2"/>
      <c r="AKN11" s="2"/>
      <c r="AKO11" s="2"/>
      <c r="AKP11" s="2"/>
      <c r="AKQ11" s="2"/>
      <c r="AKR11" s="2"/>
      <c r="AKS11" s="2"/>
      <c r="AKT11" s="2"/>
      <c r="AKU11" s="2"/>
      <c r="AKV11" s="2"/>
      <c r="AKW11" s="2"/>
      <c r="AKX11" s="2"/>
      <c r="AKY11" s="2"/>
      <c r="AKZ11" s="2"/>
      <c r="ALA11" s="2"/>
      <c r="ALB11" s="2"/>
      <c r="ALC11" s="2"/>
      <c r="ALD11" s="2"/>
      <c r="ALE11" s="2"/>
      <c r="ALF11" s="2"/>
      <c r="ALG11" s="2"/>
      <c r="ALH11" s="2"/>
      <c r="ALI11" s="2"/>
      <c r="ALJ11" s="2"/>
      <c r="ALK11" s="2"/>
      <c r="ALL11" s="2"/>
      <c r="ALM11" s="2"/>
      <c r="ALN11" s="2"/>
      <c r="ALO11" s="2"/>
      <c r="ALP11" s="2"/>
      <c r="ALQ11" s="2"/>
      <c r="ALR11" s="2"/>
      <c r="ALS11" s="2"/>
      <c r="ALT11" s="2"/>
      <c r="ALU11" s="2"/>
      <c r="ALV11" s="2"/>
      <c r="ALW11" s="2"/>
      <c r="ALX11" s="2"/>
    </row>
    <row r="12" customFormat="false" ht="15" hidden="false" customHeight="true" outlineLevel="0" collapsed="false">
      <c r="A12" s="2"/>
      <c r="B12" s="64" t="s">
        <v>89</v>
      </c>
      <c r="C12" s="65" t="n">
        <f aca="false">VLOOKUP($B12,Unidades!$D$5:$N$24,6,FALSE())</f>
        <v>334.4</v>
      </c>
      <c r="D12" s="65" t="n">
        <f aca="false">VLOOKUP($B12,Unidades!$D$5:$N$24,7,FALSE())</f>
        <v>296</v>
      </c>
      <c r="E12" s="65" t="n">
        <f aca="false">VLOOKUP($B12,Unidades!$D$5:$N$24,8,FALSE())</f>
        <v>38.4</v>
      </c>
      <c r="F12" s="65" t="n">
        <f aca="false">VLOOKUP($B12,Unidades!$D$5:$N$24,9,FALSE())</f>
        <v>0</v>
      </c>
      <c r="G12" s="65" t="n">
        <f aca="false">D12+E12*$E$6+F12*$F$6</f>
        <v>309.44</v>
      </c>
      <c r="H12" s="66" t="n">
        <f aca="false">IF(G12&lt;750,1.5,IF(G12&lt;2000,2,3))</f>
        <v>1.5</v>
      </c>
      <c r="I12" s="66" t="n">
        <f aca="false">$I$6*H12</f>
        <v>1.8</v>
      </c>
      <c r="J12" s="66" t="str">
        <f aca="false">VLOOKUP($B12,Unidades!$D$5:$N$24,10,FALSE())</f>
        <v>NÃO</v>
      </c>
      <c r="K12" s="66" t="str">
        <f aca="false">VLOOKUP($B12,Unidades!$D$5:$N$24,11,FALSE())</f>
        <v>NÃO</v>
      </c>
      <c r="L12" s="66" t="n">
        <f aca="false">$L$6*H12+(IF(J12="SIM",$J$6,0))</f>
        <v>1.65</v>
      </c>
      <c r="M12" s="66" t="n">
        <f aca="false">$M$6*H12+(IF(J12="SIM",$J$6,0))+(IF(K12="SIM",$K$6,0))</f>
        <v>1.65</v>
      </c>
      <c r="N12" s="66" t="n">
        <f aca="false">H12*12+I12*4+L12*2+M12</f>
        <v>30.15</v>
      </c>
      <c r="O12" s="67" t="n">
        <f aca="false">IF(K12="não", N12*(C$21+D$21),N12*(C$21+D$21)+(M12*+E$21))</f>
        <v>1703.475</v>
      </c>
      <c r="P12" s="68"/>
      <c r="Q12" s="22" t="str">
        <f aca="false">B12</f>
        <v>APS PENHA</v>
      </c>
      <c r="R12" s="24" t="n">
        <f aca="false">H12*($C$21+$D$21)</f>
        <v>84.75</v>
      </c>
      <c r="S12" s="24" t="n">
        <f aca="false">I12*($C$21+$D$21)</f>
        <v>101.7</v>
      </c>
      <c r="T12" s="24" t="n">
        <f aca="false">L12*($C$21+$D$21)</f>
        <v>93.225</v>
      </c>
      <c r="U12" s="24" t="n">
        <f aca="false">IF(K12="não",M12*($C$21+$D$21),M12*(C$21+D$21+E$21))</f>
        <v>93.225</v>
      </c>
      <c r="V12" s="24" t="n">
        <f aca="false">VLOOKUP(Q12,'Desl. Base Blumenau'!$C$5:$S$15,13,FALSE())*($C$21+$D$21+$E$21*(VLOOKUP(Q12,'Desl. Base Blumenau'!$C$5:$S$15,17,FALSE())/12))</f>
        <v>71.4096319444444</v>
      </c>
      <c r="W12" s="24" t="n">
        <f aca="false">VLOOKUP(Q12,'Desl. Base Blumenau'!$C$5:$S$15,15,FALSE())*(2+(VLOOKUP(Q12,'Desl. Base Blumenau'!$C$5:$S$15,17,FALSE())/12))</f>
        <v>0</v>
      </c>
      <c r="X12" s="24" t="n">
        <f aca="false">VLOOKUP(Q12,'Desl. Base Blumenau'!$C$5:$Q$15,14,FALSE())</f>
        <v>0</v>
      </c>
      <c r="Y12" s="24" t="n">
        <f aca="false">VLOOKUP(Q12,'Desl. Base Blumenau'!$C$5:$Q$15,13,FALSE())*'Desl. Base Blumenau'!$E$20+'Desl. Base Blumenau'!$E$21*N12/12</f>
        <v>79.452375</v>
      </c>
      <c r="Z12" s="24" t="n">
        <f aca="false">(H12/$AC$5)*'Equipe Técnica'!$C$13</f>
        <v>344.021646143876</v>
      </c>
      <c r="AA12" s="24" t="n">
        <f aca="false">(I12/$AC$5)*'Equipe Técnica'!$C$13</f>
        <v>412.825975372651</v>
      </c>
      <c r="AB12" s="24" t="n">
        <f aca="false">(L12/$AC$5)*'Equipe Técnica'!$C$13</f>
        <v>378.423810758263</v>
      </c>
      <c r="AC12" s="24" t="n">
        <f aca="false">(M12/$AC$5)*'Equipe Técnica'!$C$13</f>
        <v>378.423810758263</v>
      </c>
      <c r="AD12" s="24" t="n">
        <f aca="false">R12+(($V12+$W12+$X12+$Y12)*12/19)+$Z12</f>
        <v>524.052913687735</v>
      </c>
      <c r="AE12" s="24" t="n">
        <f aca="false">S12+(($V12+$W12+$X12+$Y12)*12/19)+$AA12</f>
        <v>609.80724291651</v>
      </c>
      <c r="AF12" s="24" t="n">
        <f aca="false">T12+(($V12+$W12+$X12+$Y12)*12/19)+$AB12</f>
        <v>566.930078302123</v>
      </c>
      <c r="AG12" s="24" t="n">
        <f aca="false">U12+(($V12+$W12+$X12+$Y12)*12/19)+$AC12</f>
        <v>566.930078302123</v>
      </c>
      <c r="AH12" s="2"/>
      <c r="AI12" s="22" t="str">
        <f aca="false">B12</f>
        <v>APS PENHA</v>
      </c>
      <c r="AJ12" s="69" t="n">
        <f aca="false">VLOOKUP(AI12,Unidades!D$5:H$24,5,)</f>
        <v>0.2223</v>
      </c>
      <c r="AK12" s="48" t="n">
        <f aca="false">AD12*(1+$AJ12)</f>
        <v>640.549876400519</v>
      </c>
      <c r="AL12" s="48" t="n">
        <f aca="false">AE12*(1+$AJ12)</f>
        <v>745.367393016851</v>
      </c>
      <c r="AM12" s="48" t="n">
        <f aca="false">AF12*(1+$AJ12)</f>
        <v>692.958634708685</v>
      </c>
      <c r="AN12" s="48" t="n">
        <f aca="false">AG12*(1+$AJ12)</f>
        <v>692.958634708685</v>
      </c>
      <c r="AO12" s="48" t="n">
        <f aca="false">((AK12*12)+(AL12*4)+(AM12*2)+AN12)/12</f>
        <v>1062.24533274997</v>
      </c>
      <c r="AP12" s="48" t="n">
        <f aca="false">AO12*3</f>
        <v>3186.73599824992</v>
      </c>
      <c r="AQ12" s="48" t="n">
        <f aca="false">AO12+AP12</f>
        <v>4248.98133099989</v>
      </c>
      <c r="AR12" s="70"/>
      <c r="AS12" s="73" t="s">
        <v>73</v>
      </c>
      <c r="AT12" s="48" t="n">
        <f aca="false">AT10*3</f>
        <v>41199.9099598674</v>
      </c>
      <c r="AU12" s="48"/>
      <c r="AV12" s="70"/>
      <c r="AW12" s="70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"/>
      <c r="NH12" s="2"/>
      <c r="NI12" s="2"/>
      <c r="NJ12" s="2"/>
      <c r="NK12" s="2"/>
      <c r="NL12" s="2"/>
      <c r="NM12" s="2"/>
      <c r="NN12" s="2"/>
      <c r="NO12" s="2"/>
      <c r="NP12" s="2"/>
      <c r="NQ12" s="2"/>
      <c r="NR12" s="2"/>
      <c r="NS12" s="2"/>
      <c r="NT12" s="2"/>
      <c r="NU12" s="2"/>
      <c r="NV12" s="2"/>
      <c r="NW12" s="2"/>
      <c r="NX12" s="2"/>
      <c r="NY12" s="2"/>
      <c r="NZ12" s="2"/>
      <c r="OA12" s="2"/>
      <c r="OB12" s="2"/>
      <c r="OC12" s="2"/>
      <c r="OD12" s="2"/>
      <c r="OE12" s="2"/>
      <c r="OF12" s="2"/>
      <c r="OG12" s="2"/>
      <c r="OH12" s="2"/>
      <c r="OI12" s="2"/>
      <c r="OJ12" s="2"/>
      <c r="OK12" s="2"/>
      <c r="OL12" s="2"/>
      <c r="OM12" s="2"/>
      <c r="ON12" s="2"/>
      <c r="OO12" s="2"/>
      <c r="OP12" s="2"/>
      <c r="OQ12" s="2"/>
      <c r="OR12" s="2"/>
      <c r="OS12" s="2"/>
      <c r="OT12" s="2"/>
      <c r="OU12" s="2"/>
      <c r="OV12" s="2"/>
      <c r="OW12" s="2"/>
      <c r="OX12" s="2"/>
      <c r="OY12" s="2"/>
      <c r="OZ12" s="2"/>
      <c r="PA12" s="2"/>
      <c r="PB12" s="2"/>
      <c r="PC12" s="2"/>
      <c r="PD12" s="2"/>
      <c r="PE12" s="2"/>
      <c r="PF12" s="2"/>
      <c r="PG12" s="2"/>
      <c r="PH12" s="2"/>
      <c r="PI12" s="2"/>
      <c r="PJ12" s="2"/>
      <c r="PK12" s="2"/>
      <c r="PL12" s="2"/>
      <c r="PM12" s="2"/>
      <c r="PN12" s="2"/>
      <c r="PO12" s="2"/>
      <c r="PP12" s="2"/>
      <c r="PQ12" s="2"/>
      <c r="PR12" s="2"/>
      <c r="PS12" s="2"/>
      <c r="PT12" s="2"/>
      <c r="PU12" s="2"/>
      <c r="PV12" s="2"/>
      <c r="PW12" s="2"/>
      <c r="PX12" s="2"/>
      <c r="PY12" s="2"/>
      <c r="PZ12" s="2"/>
      <c r="QA12" s="2"/>
      <c r="QB12" s="2"/>
      <c r="QC12" s="2"/>
      <c r="QD12" s="2"/>
      <c r="QE12" s="2"/>
      <c r="QF12" s="2"/>
      <c r="QG12" s="2"/>
      <c r="QH12" s="2"/>
      <c r="QI12" s="2"/>
      <c r="QJ12" s="2"/>
      <c r="QK12" s="2"/>
      <c r="QL12" s="2"/>
      <c r="QM12" s="2"/>
      <c r="QN12" s="2"/>
      <c r="QO12" s="2"/>
      <c r="QP12" s="2"/>
      <c r="QQ12" s="2"/>
      <c r="QR12" s="2"/>
      <c r="QS12" s="2"/>
      <c r="QT12" s="2"/>
      <c r="QU12" s="2"/>
      <c r="QV12" s="2"/>
      <c r="QW12" s="2"/>
      <c r="QX12" s="2"/>
      <c r="QY12" s="2"/>
      <c r="QZ12" s="2"/>
      <c r="RA12" s="2"/>
      <c r="RB12" s="2"/>
      <c r="RC12" s="2"/>
      <c r="RD12" s="2"/>
      <c r="RE12" s="2"/>
      <c r="RF12" s="2"/>
      <c r="RG12" s="2"/>
      <c r="RH12" s="2"/>
      <c r="RI12" s="2"/>
      <c r="RJ12" s="2"/>
      <c r="RK12" s="2"/>
      <c r="RL12" s="2"/>
      <c r="RM12" s="2"/>
      <c r="RN12" s="2"/>
      <c r="RO12" s="2"/>
      <c r="RP12" s="2"/>
      <c r="RQ12" s="2"/>
      <c r="RR12" s="2"/>
      <c r="RS12" s="2"/>
      <c r="RT12" s="2"/>
      <c r="RU12" s="2"/>
      <c r="RV12" s="2"/>
      <c r="RW12" s="2"/>
      <c r="RX12" s="2"/>
      <c r="RY12" s="2"/>
      <c r="RZ12" s="2"/>
      <c r="SA12" s="2"/>
      <c r="SB12" s="2"/>
      <c r="SC12" s="2"/>
      <c r="SD12" s="2"/>
      <c r="SE12" s="2"/>
      <c r="SF12" s="2"/>
      <c r="SG12" s="2"/>
      <c r="SH12" s="2"/>
      <c r="SI12" s="2"/>
      <c r="SJ12" s="2"/>
      <c r="SK12" s="2"/>
      <c r="SL12" s="2"/>
      <c r="SM12" s="2"/>
      <c r="SN12" s="2"/>
      <c r="SO12" s="2"/>
      <c r="SP12" s="2"/>
      <c r="SQ12" s="2"/>
      <c r="SR12" s="2"/>
      <c r="SS12" s="2"/>
      <c r="ST12" s="2"/>
      <c r="SU12" s="2"/>
      <c r="SV12" s="2"/>
      <c r="SW12" s="2"/>
      <c r="SX12" s="2"/>
      <c r="SY12" s="2"/>
      <c r="SZ12" s="2"/>
      <c r="TA12" s="2"/>
      <c r="TB12" s="2"/>
      <c r="TC12" s="2"/>
      <c r="TD12" s="2"/>
      <c r="TE12" s="2"/>
      <c r="TF12" s="2"/>
      <c r="TG12" s="2"/>
      <c r="TH12" s="2"/>
      <c r="TI12" s="2"/>
      <c r="TJ12" s="2"/>
      <c r="TK12" s="2"/>
      <c r="TL12" s="2"/>
      <c r="TM12" s="2"/>
      <c r="TN12" s="2"/>
      <c r="TO12" s="2"/>
      <c r="TP12" s="2"/>
      <c r="TQ12" s="2"/>
      <c r="TR12" s="2"/>
      <c r="TS12" s="2"/>
      <c r="TT12" s="2"/>
      <c r="TU12" s="2"/>
      <c r="TV12" s="2"/>
      <c r="TW12" s="2"/>
      <c r="TX12" s="2"/>
      <c r="TY12" s="2"/>
      <c r="TZ12" s="2"/>
      <c r="UA12" s="2"/>
      <c r="UB12" s="2"/>
      <c r="UC12" s="2"/>
      <c r="UD12" s="2"/>
      <c r="UE12" s="2"/>
      <c r="UF12" s="2"/>
      <c r="UG12" s="2"/>
      <c r="UH12" s="2"/>
      <c r="UI12" s="2"/>
      <c r="UJ12" s="2"/>
      <c r="UK12" s="2"/>
      <c r="UL12" s="2"/>
      <c r="UM12" s="2"/>
      <c r="UN12" s="2"/>
      <c r="UO12" s="2"/>
      <c r="UP12" s="2"/>
      <c r="UQ12" s="2"/>
      <c r="UR12" s="2"/>
      <c r="US12" s="2"/>
      <c r="UT12" s="2"/>
      <c r="UU12" s="2"/>
      <c r="UV12" s="2"/>
      <c r="UW12" s="2"/>
      <c r="UX12" s="2"/>
      <c r="UY12" s="2"/>
      <c r="UZ12" s="2"/>
      <c r="VA12" s="2"/>
      <c r="VB12" s="2"/>
      <c r="VC12" s="2"/>
      <c r="VD12" s="2"/>
      <c r="VE12" s="2"/>
      <c r="VF12" s="2"/>
      <c r="VG12" s="2"/>
      <c r="VH12" s="2"/>
      <c r="VI12" s="2"/>
      <c r="VJ12" s="2"/>
      <c r="VK12" s="2"/>
      <c r="VL12" s="2"/>
      <c r="VM12" s="2"/>
      <c r="VN12" s="2"/>
      <c r="VO12" s="2"/>
      <c r="VP12" s="2"/>
      <c r="VQ12" s="2"/>
      <c r="VR12" s="2"/>
      <c r="VS12" s="2"/>
      <c r="VT12" s="2"/>
      <c r="VU12" s="2"/>
      <c r="VV12" s="2"/>
      <c r="VW12" s="2"/>
      <c r="VX12" s="2"/>
      <c r="VY12" s="2"/>
      <c r="VZ12" s="2"/>
      <c r="WA12" s="2"/>
      <c r="WB12" s="2"/>
      <c r="WC12" s="2"/>
      <c r="WD12" s="2"/>
      <c r="WE12" s="2"/>
      <c r="WF12" s="2"/>
      <c r="WG12" s="2"/>
      <c r="WH12" s="2"/>
      <c r="WI12" s="2"/>
      <c r="WJ12" s="2"/>
      <c r="WK12" s="2"/>
      <c r="WL12" s="2"/>
      <c r="WM12" s="2"/>
      <c r="WN12" s="2"/>
      <c r="WO12" s="2"/>
      <c r="WP12" s="2"/>
      <c r="WQ12" s="2"/>
      <c r="WR12" s="2"/>
      <c r="WS12" s="2"/>
      <c r="WT12" s="2"/>
      <c r="WU12" s="2"/>
      <c r="WV12" s="2"/>
      <c r="WW12" s="2"/>
      <c r="WX12" s="2"/>
      <c r="WY12" s="2"/>
      <c r="WZ12" s="2"/>
      <c r="XA12" s="2"/>
      <c r="XB12" s="2"/>
      <c r="XC12" s="2"/>
      <c r="XD12" s="2"/>
      <c r="XE12" s="2"/>
      <c r="XF12" s="2"/>
      <c r="XG12" s="2"/>
      <c r="XH12" s="2"/>
      <c r="XI12" s="2"/>
      <c r="XJ12" s="2"/>
      <c r="XK12" s="2"/>
      <c r="XL12" s="2"/>
      <c r="XM12" s="2"/>
      <c r="XN12" s="2"/>
      <c r="XO12" s="2"/>
      <c r="XP12" s="2"/>
      <c r="XQ12" s="2"/>
      <c r="XR12" s="2"/>
      <c r="XS12" s="2"/>
      <c r="XT12" s="2"/>
      <c r="XU12" s="2"/>
      <c r="XV12" s="2"/>
      <c r="XW12" s="2"/>
      <c r="XX12" s="2"/>
      <c r="XY12" s="2"/>
      <c r="XZ12" s="2"/>
      <c r="YA12" s="2"/>
      <c r="YB12" s="2"/>
      <c r="YC12" s="2"/>
      <c r="YD12" s="2"/>
      <c r="YE12" s="2"/>
      <c r="YF12" s="2"/>
      <c r="YG12" s="2"/>
      <c r="YH12" s="2"/>
      <c r="YI12" s="2"/>
      <c r="YJ12" s="2"/>
      <c r="YK12" s="2"/>
      <c r="YL12" s="2"/>
      <c r="YM12" s="2"/>
      <c r="YN12" s="2"/>
      <c r="YO12" s="2"/>
      <c r="YP12" s="2"/>
      <c r="YQ12" s="2"/>
      <c r="YR12" s="2"/>
      <c r="YS12" s="2"/>
      <c r="YT12" s="2"/>
      <c r="YU12" s="2"/>
      <c r="YV12" s="2"/>
      <c r="YW12" s="2"/>
      <c r="YX12" s="2"/>
      <c r="YY12" s="2"/>
      <c r="YZ12" s="2"/>
      <c r="ZA12" s="2"/>
      <c r="ZB12" s="2"/>
      <c r="ZC12" s="2"/>
      <c r="ZD12" s="2"/>
      <c r="ZE12" s="2"/>
      <c r="ZF12" s="2"/>
      <c r="ZG12" s="2"/>
      <c r="ZH12" s="2"/>
      <c r="ZI12" s="2"/>
      <c r="ZJ12" s="2"/>
      <c r="ZK12" s="2"/>
      <c r="ZL12" s="2"/>
      <c r="ZM12" s="2"/>
      <c r="ZN12" s="2"/>
      <c r="ZO12" s="2"/>
      <c r="ZP12" s="2"/>
      <c r="ZQ12" s="2"/>
      <c r="ZR12" s="2"/>
      <c r="ZS12" s="2"/>
      <c r="ZT12" s="2"/>
      <c r="ZU12" s="2"/>
      <c r="ZV12" s="2"/>
      <c r="ZW12" s="2"/>
      <c r="ZX12" s="2"/>
      <c r="ZY12" s="2"/>
      <c r="ZZ12" s="2"/>
      <c r="AAA12" s="2"/>
      <c r="AAB12" s="2"/>
      <c r="AAC12" s="2"/>
      <c r="AAD12" s="2"/>
      <c r="AAE12" s="2"/>
      <c r="AAF12" s="2"/>
      <c r="AAG12" s="2"/>
      <c r="AAH12" s="2"/>
      <c r="AAI12" s="2"/>
      <c r="AAJ12" s="2"/>
      <c r="AAK12" s="2"/>
      <c r="AAL12" s="2"/>
      <c r="AAM12" s="2"/>
      <c r="AAN12" s="2"/>
      <c r="AAO12" s="2"/>
      <c r="AAP12" s="2"/>
      <c r="AAQ12" s="2"/>
      <c r="AAR12" s="2"/>
      <c r="AAS12" s="2"/>
      <c r="AAT12" s="2"/>
      <c r="AAU12" s="2"/>
      <c r="AAV12" s="2"/>
      <c r="AAW12" s="2"/>
      <c r="AAX12" s="2"/>
      <c r="AAY12" s="2"/>
      <c r="AAZ12" s="2"/>
      <c r="ABA12" s="2"/>
      <c r="ABB12" s="2"/>
      <c r="ABC12" s="2"/>
      <c r="ABD12" s="2"/>
      <c r="ABE12" s="2"/>
      <c r="ABF12" s="2"/>
      <c r="ABG12" s="2"/>
      <c r="ABH12" s="2"/>
      <c r="ABI12" s="2"/>
      <c r="ABJ12" s="2"/>
      <c r="ABK12" s="2"/>
      <c r="ABL12" s="2"/>
      <c r="ABM12" s="2"/>
      <c r="ABN12" s="2"/>
      <c r="ABO12" s="2"/>
      <c r="ABP12" s="2"/>
      <c r="ABQ12" s="2"/>
      <c r="ABR12" s="2"/>
      <c r="ABS12" s="2"/>
      <c r="ABT12" s="2"/>
      <c r="ABU12" s="2"/>
      <c r="ABV12" s="2"/>
      <c r="ABW12" s="2"/>
      <c r="ABX12" s="2"/>
      <c r="ABY12" s="2"/>
      <c r="ABZ12" s="2"/>
      <c r="ACA12" s="2"/>
      <c r="ACB12" s="2"/>
      <c r="ACC12" s="2"/>
      <c r="ACD12" s="2"/>
      <c r="ACE12" s="2"/>
      <c r="ACF12" s="2"/>
      <c r="ACG12" s="2"/>
      <c r="ACH12" s="2"/>
      <c r="ACI12" s="2"/>
      <c r="ACJ12" s="2"/>
      <c r="ACK12" s="2"/>
      <c r="ACL12" s="2"/>
      <c r="ACM12" s="2"/>
      <c r="ACN12" s="2"/>
      <c r="ACO12" s="2"/>
      <c r="ACP12" s="2"/>
      <c r="ACQ12" s="2"/>
      <c r="ACR12" s="2"/>
      <c r="ACS12" s="2"/>
      <c r="ACT12" s="2"/>
      <c r="ACU12" s="2"/>
      <c r="ACV12" s="2"/>
      <c r="ACW12" s="2"/>
      <c r="ACX12" s="2"/>
      <c r="ACY12" s="2"/>
      <c r="ACZ12" s="2"/>
      <c r="ADA12" s="2"/>
      <c r="ADB12" s="2"/>
      <c r="ADC12" s="2"/>
      <c r="ADD12" s="2"/>
      <c r="ADE12" s="2"/>
      <c r="ADF12" s="2"/>
      <c r="ADG12" s="2"/>
      <c r="ADH12" s="2"/>
      <c r="ADI12" s="2"/>
      <c r="ADJ12" s="2"/>
      <c r="ADK12" s="2"/>
      <c r="ADL12" s="2"/>
      <c r="ADM12" s="2"/>
      <c r="ADN12" s="2"/>
      <c r="ADO12" s="2"/>
      <c r="ADP12" s="2"/>
      <c r="ADQ12" s="2"/>
      <c r="ADR12" s="2"/>
      <c r="ADS12" s="2"/>
      <c r="ADT12" s="2"/>
      <c r="ADU12" s="2"/>
      <c r="ADV12" s="2"/>
      <c r="ADW12" s="2"/>
      <c r="ADX12" s="2"/>
      <c r="ADY12" s="2"/>
      <c r="ADZ12" s="2"/>
      <c r="AEA12" s="2"/>
      <c r="AEB12" s="2"/>
      <c r="AEC12" s="2"/>
      <c r="AED12" s="2"/>
      <c r="AEE12" s="2"/>
      <c r="AEF12" s="2"/>
      <c r="AEG12" s="2"/>
      <c r="AEH12" s="2"/>
      <c r="AEI12" s="2"/>
      <c r="AEJ12" s="2"/>
      <c r="AEK12" s="2"/>
      <c r="AEL12" s="2"/>
      <c r="AEM12" s="2"/>
      <c r="AEN12" s="2"/>
      <c r="AEO12" s="2"/>
      <c r="AEP12" s="2"/>
      <c r="AEQ12" s="2"/>
      <c r="AER12" s="2"/>
      <c r="AES12" s="2"/>
      <c r="AET12" s="2"/>
      <c r="AEU12" s="2"/>
      <c r="AEV12" s="2"/>
      <c r="AEW12" s="2"/>
      <c r="AEX12" s="2"/>
      <c r="AEY12" s="2"/>
      <c r="AEZ12" s="2"/>
      <c r="AFA12" s="2"/>
      <c r="AFB12" s="2"/>
      <c r="AFC12" s="2"/>
      <c r="AFD12" s="2"/>
      <c r="AFE12" s="2"/>
      <c r="AFF12" s="2"/>
      <c r="AFG12" s="2"/>
      <c r="AFH12" s="2"/>
      <c r="AFI12" s="2"/>
      <c r="AFJ12" s="2"/>
      <c r="AFK12" s="2"/>
      <c r="AFL12" s="2"/>
      <c r="AFM12" s="2"/>
      <c r="AFN12" s="2"/>
      <c r="AFO12" s="2"/>
      <c r="AFP12" s="2"/>
      <c r="AFQ12" s="2"/>
      <c r="AFR12" s="2"/>
      <c r="AFS12" s="2"/>
      <c r="AFT12" s="2"/>
      <c r="AFU12" s="2"/>
      <c r="AFV12" s="2"/>
      <c r="AFW12" s="2"/>
      <c r="AFX12" s="2"/>
      <c r="AFY12" s="2"/>
      <c r="AFZ12" s="2"/>
      <c r="AGA12" s="2"/>
      <c r="AGB12" s="2"/>
      <c r="AGC12" s="2"/>
      <c r="AGD12" s="2"/>
      <c r="AGE12" s="2"/>
      <c r="AGF12" s="2"/>
      <c r="AGG12" s="2"/>
      <c r="AGH12" s="2"/>
      <c r="AGI12" s="2"/>
      <c r="AGJ12" s="2"/>
      <c r="AGK12" s="2"/>
      <c r="AGL12" s="2"/>
      <c r="AGM12" s="2"/>
      <c r="AGN12" s="2"/>
      <c r="AGO12" s="2"/>
      <c r="AGP12" s="2"/>
      <c r="AGQ12" s="2"/>
      <c r="AGR12" s="2"/>
      <c r="AGS12" s="2"/>
      <c r="AGT12" s="2"/>
      <c r="AGU12" s="2"/>
      <c r="AGV12" s="2"/>
      <c r="AGW12" s="2"/>
      <c r="AGX12" s="2"/>
      <c r="AGY12" s="2"/>
      <c r="AGZ12" s="2"/>
      <c r="AHA12" s="2"/>
      <c r="AHB12" s="2"/>
      <c r="AHC12" s="2"/>
      <c r="AHD12" s="2"/>
      <c r="AHE12" s="2"/>
      <c r="AHF12" s="2"/>
      <c r="AHG12" s="2"/>
      <c r="AHH12" s="2"/>
      <c r="AHI12" s="2"/>
      <c r="AHJ12" s="2"/>
      <c r="AHK12" s="2"/>
      <c r="AHL12" s="2"/>
      <c r="AHM12" s="2"/>
      <c r="AHN12" s="2"/>
      <c r="AHO12" s="2"/>
      <c r="AHP12" s="2"/>
      <c r="AHQ12" s="2"/>
      <c r="AHR12" s="2"/>
      <c r="AHS12" s="2"/>
      <c r="AHT12" s="2"/>
      <c r="AHU12" s="2"/>
      <c r="AHV12" s="2"/>
      <c r="AHW12" s="2"/>
      <c r="AHX12" s="2"/>
      <c r="AHY12" s="2"/>
      <c r="AHZ12" s="2"/>
      <c r="AIA12" s="2"/>
      <c r="AIB12" s="2"/>
      <c r="AIC12" s="2"/>
      <c r="AID12" s="2"/>
      <c r="AIE12" s="2"/>
      <c r="AIF12" s="2"/>
      <c r="AIG12" s="2"/>
      <c r="AIH12" s="2"/>
      <c r="AII12" s="2"/>
      <c r="AIJ12" s="2"/>
      <c r="AIK12" s="2"/>
      <c r="AIL12" s="2"/>
      <c r="AIM12" s="2"/>
      <c r="AIN12" s="2"/>
      <c r="AIO12" s="2"/>
      <c r="AIP12" s="2"/>
      <c r="AIQ12" s="2"/>
      <c r="AIR12" s="2"/>
      <c r="AIS12" s="2"/>
      <c r="AIT12" s="2"/>
      <c r="AIU12" s="2"/>
      <c r="AIV12" s="2"/>
      <c r="AIW12" s="2"/>
      <c r="AIX12" s="2"/>
      <c r="AIY12" s="2"/>
      <c r="AIZ12" s="2"/>
      <c r="AJA12" s="2"/>
      <c r="AJB12" s="2"/>
      <c r="AJC12" s="2"/>
      <c r="AJD12" s="2"/>
      <c r="AJE12" s="2"/>
      <c r="AJF12" s="2"/>
      <c r="AJG12" s="2"/>
      <c r="AJH12" s="2"/>
      <c r="AJI12" s="2"/>
      <c r="AJJ12" s="2"/>
      <c r="AJK12" s="2"/>
      <c r="AJL12" s="2"/>
      <c r="AJM12" s="2"/>
      <c r="AJN12" s="2"/>
      <c r="AJO12" s="2"/>
      <c r="AJP12" s="2"/>
      <c r="AJQ12" s="2"/>
      <c r="AJR12" s="2"/>
      <c r="AJS12" s="2"/>
      <c r="AJT12" s="2"/>
      <c r="AJU12" s="2"/>
      <c r="AJV12" s="2"/>
      <c r="AJW12" s="2"/>
      <c r="AJX12" s="2"/>
      <c r="AJY12" s="2"/>
      <c r="AJZ12" s="2"/>
      <c r="AKA12" s="2"/>
      <c r="AKB12" s="2"/>
      <c r="AKC12" s="2"/>
      <c r="AKD12" s="2"/>
      <c r="AKE12" s="2"/>
      <c r="AKF12" s="2"/>
      <c r="AKG12" s="2"/>
      <c r="AKH12" s="2"/>
      <c r="AKI12" s="2"/>
      <c r="AKJ12" s="2"/>
      <c r="AKK12" s="2"/>
      <c r="AKL12" s="2"/>
      <c r="AKM12" s="2"/>
      <c r="AKN12" s="2"/>
      <c r="AKO12" s="2"/>
      <c r="AKP12" s="2"/>
      <c r="AKQ12" s="2"/>
      <c r="AKR12" s="2"/>
      <c r="AKS12" s="2"/>
      <c r="AKT12" s="2"/>
      <c r="AKU12" s="2"/>
      <c r="AKV12" s="2"/>
      <c r="AKW12" s="2"/>
      <c r="AKX12" s="2"/>
      <c r="AKY12" s="2"/>
      <c r="AKZ12" s="2"/>
      <c r="ALA12" s="2"/>
      <c r="ALB12" s="2"/>
      <c r="ALC12" s="2"/>
      <c r="ALD12" s="2"/>
      <c r="ALE12" s="2"/>
      <c r="ALF12" s="2"/>
      <c r="ALG12" s="2"/>
      <c r="ALH12" s="2"/>
      <c r="ALI12" s="2"/>
      <c r="ALJ12" s="2"/>
      <c r="ALK12" s="2"/>
      <c r="ALL12" s="2"/>
      <c r="ALM12" s="2"/>
      <c r="ALN12" s="2"/>
      <c r="ALO12" s="2"/>
      <c r="ALP12" s="2"/>
      <c r="ALQ12" s="2"/>
      <c r="ALR12" s="2"/>
      <c r="ALS12" s="2"/>
      <c r="ALT12" s="2"/>
      <c r="ALU12" s="2"/>
      <c r="ALV12" s="2"/>
      <c r="ALW12" s="2"/>
      <c r="ALX12" s="2"/>
    </row>
    <row r="13" customFormat="false" ht="15" hidden="false" customHeight="true" outlineLevel="0" collapsed="false">
      <c r="A13" s="2"/>
      <c r="B13" s="64" t="s">
        <v>90</v>
      </c>
      <c r="C13" s="65" t="n">
        <f aca="false">VLOOKUP($B13,Unidades!$D$5:$N$24,6,FALSE())</f>
        <v>334.4</v>
      </c>
      <c r="D13" s="65" t="n">
        <f aca="false">VLOOKUP($B13,Unidades!$D$5:$N$24,7,FALSE())</f>
        <v>296</v>
      </c>
      <c r="E13" s="65" t="n">
        <f aca="false">VLOOKUP($B13,Unidades!$D$5:$N$24,8,FALSE())</f>
        <v>38.4</v>
      </c>
      <c r="F13" s="65" t="n">
        <f aca="false">VLOOKUP($B13,Unidades!$D$5:$N$24,9,FALSE())</f>
        <v>0</v>
      </c>
      <c r="G13" s="65" t="n">
        <f aca="false">D13+E13*$E$6+F13*$F$6</f>
        <v>309.44</v>
      </c>
      <c r="H13" s="66" t="n">
        <f aca="false">IF(G13&lt;750,1.5,IF(G13&lt;2000,2,3))</f>
        <v>1.5</v>
      </c>
      <c r="I13" s="66" t="n">
        <f aca="false">$I$6*H13</f>
        <v>1.8</v>
      </c>
      <c r="J13" s="66" t="str">
        <f aca="false">VLOOKUP($B13,Unidades!$D$5:$N$24,10,FALSE())</f>
        <v>NÃO</v>
      </c>
      <c r="K13" s="66" t="str">
        <f aca="false">VLOOKUP($B13,Unidades!$D$5:$N$24,11,FALSE())</f>
        <v>NÃO</v>
      </c>
      <c r="L13" s="66" t="n">
        <f aca="false">$L$6*H13+(IF(J13="SIM",$J$6,0))</f>
        <v>1.65</v>
      </c>
      <c r="M13" s="66" t="n">
        <f aca="false">$M$6*H13+(IF(J13="SIM",$J$6,0))+(IF(K13="SIM",$K$6,0))</f>
        <v>1.65</v>
      </c>
      <c r="N13" s="66" t="n">
        <f aca="false">H13*12+I13*4+L13*2+M13</f>
        <v>30.15</v>
      </c>
      <c r="O13" s="67" t="n">
        <f aca="false">IF(K13="não", N13*(C$21+D$21),N13*(C$21+D$21)+(M13*+E$21))</f>
        <v>1703.475</v>
      </c>
      <c r="P13" s="68"/>
      <c r="Q13" s="22" t="str">
        <f aca="false">B13</f>
        <v>APS POMERODE</v>
      </c>
      <c r="R13" s="24" t="n">
        <f aca="false">H13*($C$21+$D$21)</f>
        <v>84.75</v>
      </c>
      <c r="S13" s="24" t="n">
        <f aca="false">I13*($C$21+$D$21)</f>
        <v>101.7</v>
      </c>
      <c r="T13" s="24" t="n">
        <f aca="false">L13*($C$21+$D$21)</f>
        <v>93.225</v>
      </c>
      <c r="U13" s="24" t="n">
        <f aca="false">IF(K13="não",M13*($C$21+$D$21),M13*(C$21+D$21+E$21))</f>
        <v>93.225</v>
      </c>
      <c r="V13" s="24" t="n">
        <f aca="false">VLOOKUP(Q13,'Desl. Base Blumenau'!$C$5:$S$15,13,FALSE())*($C$21+$D$21+$E$21*(VLOOKUP(Q13,'Desl. Base Blumenau'!$C$5:$S$15,17,FALSE())/12))</f>
        <v>71.5666666666667</v>
      </c>
      <c r="W13" s="24" t="n">
        <f aca="false">VLOOKUP(Q13,'Desl. Base Blumenau'!$C$5:$S$15,15,FALSE())*(2+(VLOOKUP(Q13,'Desl. Base Blumenau'!$C$5:$S$15,17,FALSE())/12))</f>
        <v>0</v>
      </c>
      <c r="X13" s="24" t="n">
        <f aca="false">VLOOKUP(Q13,'Desl. Base Blumenau'!$C$5:$Q$15,14,FALSE())</f>
        <v>0</v>
      </c>
      <c r="Y13" s="24" t="n">
        <f aca="false">VLOOKUP(Q13,'Desl. Base Blumenau'!$C$5:$Q$15,13,FALSE())*'Desl. Base Blumenau'!$E$20+'Desl. Base Blumenau'!$E$21*N13/12</f>
        <v>83.353875</v>
      </c>
      <c r="Z13" s="24" t="n">
        <f aca="false">(H13/$AC$5)*'Equipe Técnica'!$C$13</f>
        <v>344.021646143876</v>
      </c>
      <c r="AA13" s="24" t="n">
        <f aca="false">(I13/$AC$5)*'Equipe Técnica'!$C$13</f>
        <v>412.825975372651</v>
      </c>
      <c r="AB13" s="24" t="n">
        <f aca="false">(L13/$AC$5)*'Equipe Técnica'!$C$13</f>
        <v>378.423810758263</v>
      </c>
      <c r="AC13" s="24" t="n">
        <f aca="false">(M13/$AC$5)*'Equipe Técnica'!$C$13</f>
        <v>378.423810758263</v>
      </c>
      <c r="AD13" s="24" t="n">
        <f aca="false">R13+(($V13+$W13+$X13+$Y13)*12/19)+$Z13</f>
        <v>526.616198775454</v>
      </c>
      <c r="AE13" s="24" t="n">
        <f aca="false">S13+(($V13+$W13+$X13+$Y13)*12/19)+$AA13</f>
        <v>612.37052800423</v>
      </c>
      <c r="AF13" s="24" t="n">
        <f aca="false">T13+(($V13+$W13+$X13+$Y13)*12/19)+$AB13</f>
        <v>569.493363389842</v>
      </c>
      <c r="AG13" s="24" t="n">
        <f aca="false">U13+(($V13+$W13+$X13+$Y13)*12/19)+$AC13</f>
        <v>569.493363389842</v>
      </c>
      <c r="AH13" s="2"/>
      <c r="AI13" s="22" t="str">
        <f aca="false">B13</f>
        <v>APS POMERODE</v>
      </c>
      <c r="AJ13" s="69" t="n">
        <f aca="false">VLOOKUP(AI13,Unidades!D$5:H$24,5,)</f>
        <v>0.242</v>
      </c>
      <c r="AK13" s="48" t="n">
        <f aca="false">AD13*(1+$AJ13)</f>
        <v>654.057318879114</v>
      </c>
      <c r="AL13" s="48" t="n">
        <f aca="false">AE13*(1+$AJ13)</f>
        <v>760.564195781253</v>
      </c>
      <c r="AM13" s="48" t="n">
        <f aca="false">AF13*(1+$AJ13)</f>
        <v>707.310757330184</v>
      </c>
      <c r="AN13" s="48" t="n">
        <f aca="false">AG13*(1+$AJ13)</f>
        <v>707.310757330184</v>
      </c>
      <c r="AO13" s="48" t="n">
        <f aca="false">((AK13*12)+(AL13*4)+(AM13*2)+AN13)/12</f>
        <v>1084.40640680541</v>
      </c>
      <c r="AP13" s="48" t="n">
        <f aca="false">AO13*3</f>
        <v>3253.21922041623</v>
      </c>
      <c r="AQ13" s="48" t="n">
        <f aca="false">AO13+AP13</f>
        <v>4337.62562722165</v>
      </c>
      <c r="AR13" s="70"/>
      <c r="AS13" s="73" t="s">
        <v>91</v>
      </c>
      <c r="AT13" s="48" t="n">
        <f aca="false">AT12*12</f>
        <v>494398.919518409</v>
      </c>
      <c r="AU13" s="48"/>
      <c r="AV13" s="72"/>
      <c r="AW13" s="7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2"/>
      <c r="NJ13" s="2"/>
      <c r="NK13" s="2"/>
      <c r="NL13" s="2"/>
      <c r="NM13" s="2"/>
      <c r="NN13" s="2"/>
      <c r="NO13" s="2"/>
      <c r="NP13" s="2"/>
      <c r="NQ13" s="2"/>
      <c r="NR13" s="2"/>
      <c r="NS13" s="2"/>
      <c r="NT13" s="2"/>
      <c r="NU13" s="2"/>
      <c r="NV13" s="2"/>
      <c r="NW13" s="2"/>
      <c r="NX13" s="2"/>
      <c r="NY13" s="2"/>
      <c r="NZ13" s="2"/>
      <c r="OA13" s="2"/>
      <c r="OB13" s="2"/>
      <c r="OC13" s="2"/>
      <c r="OD13" s="2"/>
      <c r="OE13" s="2"/>
      <c r="OF13" s="2"/>
      <c r="OG13" s="2"/>
      <c r="OH13" s="2"/>
      <c r="OI13" s="2"/>
      <c r="OJ13" s="2"/>
      <c r="OK13" s="2"/>
      <c r="OL13" s="2"/>
      <c r="OM13" s="2"/>
      <c r="ON13" s="2"/>
      <c r="OO13" s="2"/>
      <c r="OP13" s="2"/>
      <c r="OQ13" s="2"/>
      <c r="OR13" s="2"/>
      <c r="OS13" s="2"/>
      <c r="OT13" s="2"/>
      <c r="OU13" s="2"/>
      <c r="OV13" s="2"/>
      <c r="OW13" s="2"/>
      <c r="OX13" s="2"/>
      <c r="OY13" s="2"/>
      <c r="OZ13" s="2"/>
      <c r="PA13" s="2"/>
      <c r="PB13" s="2"/>
      <c r="PC13" s="2"/>
      <c r="PD13" s="2"/>
      <c r="PE13" s="2"/>
      <c r="PF13" s="2"/>
      <c r="PG13" s="2"/>
      <c r="PH13" s="2"/>
      <c r="PI13" s="2"/>
      <c r="PJ13" s="2"/>
      <c r="PK13" s="2"/>
      <c r="PL13" s="2"/>
      <c r="PM13" s="2"/>
      <c r="PN13" s="2"/>
      <c r="PO13" s="2"/>
      <c r="PP13" s="2"/>
      <c r="PQ13" s="2"/>
      <c r="PR13" s="2"/>
      <c r="PS13" s="2"/>
      <c r="PT13" s="2"/>
      <c r="PU13" s="2"/>
      <c r="PV13" s="2"/>
      <c r="PW13" s="2"/>
      <c r="PX13" s="2"/>
      <c r="PY13" s="2"/>
      <c r="PZ13" s="2"/>
      <c r="QA13" s="2"/>
      <c r="QB13" s="2"/>
      <c r="QC13" s="2"/>
      <c r="QD13" s="2"/>
      <c r="QE13" s="2"/>
      <c r="QF13" s="2"/>
      <c r="QG13" s="2"/>
      <c r="QH13" s="2"/>
      <c r="QI13" s="2"/>
      <c r="QJ13" s="2"/>
      <c r="QK13" s="2"/>
      <c r="QL13" s="2"/>
      <c r="QM13" s="2"/>
      <c r="QN13" s="2"/>
      <c r="QO13" s="2"/>
      <c r="QP13" s="2"/>
      <c r="QQ13" s="2"/>
      <c r="QR13" s="2"/>
      <c r="QS13" s="2"/>
      <c r="QT13" s="2"/>
      <c r="QU13" s="2"/>
      <c r="QV13" s="2"/>
      <c r="QW13" s="2"/>
      <c r="QX13" s="2"/>
      <c r="QY13" s="2"/>
      <c r="QZ13" s="2"/>
      <c r="RA13" s="2"/>
      <c r="RB13" s="2"/>
      <c r="RC13" s="2"/>
      <c r="RD13" s="2"/>
      <c r="RE13" s="2"/>
      <c r="RF13" s="2"/>
      <c r="RG13" s="2"/>
      <c r="RH13" s="2"/>
      <c r="RI13" s="2"/>
      <c r="RJ13" s="2"/>
      <c r="RK13" s="2"/>
      <c r="RL13" s="2"/>
      <c r="RM13" s="2"/>
      <c r="RN13" s="2"/>
      <c r="RO13" s="2"/>
      <c r="RP13" s="2"/>
      <c r="RQ13" s="2"/>
      <c r="RR13" s="2"/>
      <c r="RS13" s="2"/>
      <c r="RT13" s="2"/>
      <c r="RU13" s="2"/>
      <c r="RV13" s="2"/>
      <c r="RW13" s="2"/>
      <c r="RX13" s="2"/>
      <c r="RY13" s="2"/>
      <c r="RZ13" s="2"/>
      <c r="SA13" s="2"/>
      <c r="SB13" s="2"/>
      <c r="SC13" s="2"/>
      <c r="SD13" s="2"/>
      <c r="SE13" s="2"/>
      <c r="SF13" s="2"/>
      <c r="SG13" s="2"/>
      <c r="SH13" s="2"/>
      <c r="SI13" s="2"/>
      <c r="SJ13" s="2"/>
      <c r="SK13" s="2"/>
      <c r="SL13" s="2"/>
      <c r="SM13" s="2"/>
      <c r="SN13" s="2"/>
      <c r="SO13" s="2"/>
      <c r="SP13" s="2"/>
      <c r="SQ13" s="2"/>
      <c r="SR13" s="2"/>
      <c r="SS13" s="2"/>
      <c r="ST13" s="2"/>
      <c r="SU13" s="2"/>
      <c r="SV13" s="2"/>
      <c r="SW13" s="2"/>
      <c r="SX13" s="2"/>
      <c r="SY13" s="2"/>
      <c r="SZ13" s="2"/>
      <c r="TA13" s="2"/>
      <c r="TB13" s="2"/>
      <c r="TC13" s="2"/>
      <c r="TD13" s="2"/>
      <c r="TE13" s="2"/>
      <c r="TF13" s="2"/>
      <c r="TG13" s="2"/>
      <c r="TH13" s="2"/>
      <c r="TI13" s="2"/>
      <c r="TJ13" s="2"/>
      <c r="TK13" s="2"/>
      <c r="TL13" s="2"/>
      <c r="TM13" s="2"/>
      <c r="TN13" s="2"/>
      <c r="TO13" s="2"/>
      <c r="TP13" s="2"/>
      <c r="TQ13" s="2"/>
      <c r="TR13" s="2"/>
      <c r="TS13" s="2"/>
      <c r="TT13" s="2"/>
      <c r="TU13" s="2"/>
      <c r="TV13" s="2"/>
      <c r="TW13" s="2"/>
      <c r="TX13" s="2"/>
      <c r="TY13" s="2"/>
      <c r="TZ13" s="2"/>
      <c r="UA13" s="2"/>
      <c r="UB13" s="2"/>
      <c r="UC13" s="2"/>
      <c r="UD13" s="2"/>
      <c r="UE13" s="2"/>
      <c r="UF13" s="2"/>
      <c r="UG13" s="2"/>
      <c r="UH13" s="2"/>
      <c r="UI13" s="2"/>
      <c r="UJ13" s="2"/>
      <c r="UK13" s="2"/>
      <c r="UL13" s="2"/>
      <c r="UM13" s="2"/>
      <c r="UN13" s="2"/>
      <c r="UO13" s="2"/>
      <c r="UP13" s="2"/>
      <c r="UQ13" s="2"/>
      <c r="UR13" s="2"/>
      <c r="US13" s="2"/>
      <c r="UT13" s="2"/>
      <c r="UU13" s="2"/>
      <c r="UV13" s="2"/>
      <c r="UW13" s="2"/>
      <c r="UX13" s="2"/>
      <c r="UY13" s="2"/>
      <c r="UZ13" s="2"/>
      <c r="VA13" s="2"/>
      <c r="VB13" s="2"/>
      <c r="VC13" s="2"/>
      <c r="VD13" s="2"/>
      <c r="VE13" s="2"/>
      <c r="VF13" s="2"/>
      <c r="VG13" s="2"/>
      <c r="VH13" s="2"/>
      <c r="VI13" s="2"/>
      <c r="VJ13" s="2"/>
      <c r="VK13" s="2"/>
      <c r="VL13" s="2"/>
      <c r="VM13" s="2"/>
      <c r="VN13" s="2"/>
      <c r="VO13" s="2"/>
      <c r="VP13" s="2"/>
      <c r="VQ13" s="2"/>
      <c r="VR13" s="2"/>
      <c r="VS13" s="2"/>
      <c r="VT13" s="2"/>
      <c r="VU13" s="2"/>
      <c r="VV13" s="2"/>
      <c r="VW13" s="2"/>
      <c r="VX13" s="2"/>
      <c r="VY13" s="2"/>
      <c r="VZ13" s="2"/>
      <c r="WA13" s="2"/>
      <c r="WB13" s="2"/>
      <c r="WC13" s="2"/>
      <c r="WD13" s="2"/>
      <c r="WE13" s="2"/>
      <c r="WF13" s="2"/>
      <c r="WG13" s="2"/>
      <c r="WH13" s="2"/>
      <c r="WI13" s="2"/>
      <c r="WJ13" s="2"/>
      <c r="WK13" s="2"/>
      <c r="WL13" s="2"/>
      <c r="WM13" s="2"/>
      <c r="WN13" s="2"/>
      <c r="WO13" s="2"/>
      <c r="WP13" s="2"/>
      <c r="WQ13" s="2"/>
      <c r="WR13" s="2"/>
      <c r="WS13" s="2"/>
      <c r="WT13" s="2"/>
      <c r="WU13" s="2"/>
      <c r="WV13" s="2"/>
      <c r="WW13" s="2"/>
      <c r="WX13" s="2"/>
      <c r="WY13" s="2"/>
      <c r="WZ13" s="2"/>
      <c r="XA13" s="2"/>
      <c r="XB13" s="2"/>
      <c r="XC13" s="2"/>
      <c r="XD13" s="2"/>
      <c r="XE13" s="2"/>
      <c r="XF13" s="2"/>
      <c r="XG13" s="2"/>
      <c r="XH13" s="2"/>
      <c r="XI13" s="2"/>
      <c r="XJ13" s="2"/>
      <c r="XK13" s="2"/>
      <c r="XL13" s="2"/>
      <c r="XM13" s="2"/>
      <c r="XN13" s="2"/>
      <c r="XO13" s="2"/>
      <c r="XP13" s="2"/>
      <c r="XQ13" s="2"/>
      <c r="XR13" s="2"/>
      <c r="XS13" s="2"/>
      <c r="XT13" s="2"/>
      <c r="XU13" s="2"/>
      <c r="XV13" s="2"/>
      <c r="XW13" s="2"/>
      <c r="XX13" s="2"/>
      <c r="XY13" s="2"/>
      <c r="XZ13" s="2"/>
      <c r="YA13" s="2"/>
      <c r="YB13" s="2"/>
      <c r="YC13" s="2"/>
      <c r="YD13" s="2"/>
      <c r="YE13" s="2"/>
      <c r="YF13" s="2"/>
      <c r="YG13" s="2"/>
      <c r="YH13" s="2"/>
      <c r="YI13" s="2"/>
      <c r="YJ13" s="2"/>
      <c r="YK13" s="2"/>
      <c r="YL13" s="2"/>
      <c r="YM13" s="2"/>
      <c r="YN13" s="2"/>
      <c r="YO13" s="2"/>
      <c r="YP13" s="2"/>
      <c r="YQ13" s="2"/>
      <c r="YR13" s="2"/>
      <c r="YS13" s="2"/>
      <c r="YT13" s="2"/>
      <c r="YU13" s="2"/>
      <c r="YV13" s="2"/>
      <c r="YW13" s="2"/>
      <c r="YX13" s="2"/>
      <c r="YY13" s="2"/>
      <c r="YZ13" s="2"/>
      <c r="ZA13" s="2"/>
      <c r="ZB13" s="2"/>
      <c r="ZC13" s="2"/>
      <c r="ZD13" s="2"/>
      <c r="ZE13" s="2"/>
      <c r="ZF13" s="2"/>
      <c r="ZG13" s="2"/>
      <c r="ZH13" s="2"/>
      <c r="ZI13" s="2"/>
      <c r="ZJ13" s="2"/>
      <c r="ZK13" s="2"/>
      <c r="ZL13" s="2"/>
      <c r="ZM13" s="2"/>
      <c r="ZN13" s="2"/>
      <c r="ZO13" s="2"/>
      <c r="ZP13" s="2"/>
      <c r="ZQ13" s="2"/>
      <c r="ZR13" s="2"/>
      <c r="ZS13" s="2"/>
      <c r="ZT13" s="2"/>
      <c r="ZU13" s="2"/>
      <c r="ZV13" s="2"/>
      <c r="ZW13" s="2"/>
      <c r="ZX13" s="2"/>
      <c r="ZY13" s="2"/>
      <c r="ZZ13" s="2"/>
      <c r="AAA13" s="2"/>
      <c r="AAB13" s="2"/>
      <c r="AAC13" s="2"/>
      <c r="AAD13" s="2"/>
      <c r="AAE13" s="2"/>
      <c r="AAF13" s="2"/>
      <c r="AAG13" s="2"/>
      <c r="AAH13" s="2"/>
      <c r="AAI13" s="2"/>
      <c r="AAJ13" s="2"/>
      <c r="AAK13" s="2"/>
      <c r="AAL13" s="2"/>
      <c r="AAM13" s="2"/>
      <c r="AAN13" s="2"/>
      <c r="AAO13" s="2"/>
      <c r="AAP13" s="2"/>
      <c r="AAQ13" s="2"/>
      <c r="AAR13" s="2"/>
      <c r="AAS13" s="2"/>
      <c r="AAT13" s="2"/>
      <c r="AAU13" s="2"/>
      <c r="AAV13" s="2"/>
      <c r="AAW13" s="2"/>
      <c r="AAX13" s="2"/>
      <c r="AAY13" s="2"/>
      <c r="AAZ13" s="2"/>
      <c r="ABA13" s="2"/>
      <c r="ABB13" s="2"/>
      <c r="ABC13" s="2"/>
      <c r="ABD13" s="2"/>
      <c r="ABE13" s="2"/>
      <c r="ABF13" s="2"/>
      <c r="ABG13" s="2"/>
      <c r="ABH13" s="2"/>
      <c r="ABI13" s="2"/>
      <c r="ABJ13" s="2"/>
      <c r="ABK13" s="2"/>
      <c r="ABL13" s="2"/>
      <c r="ABM13" s="2"/>
      <c r="ABN13" s="2"/>
      <c r="ABO13" s="2"/>
      <c r="ABP13" s="2"/>
      <c r="ABQ13" s="2"/>
      <c r="ABR13" s="2"/>
      <c r="ABS13" s="2"/>
      <c r="ABT13" s="2"/>
      <c r="ABU13" s="2"/>
      <c r="ABV13" s="2"/>
      <c r="ABW13" s="2"/>
      <c r="ABX13" s="2"/>
      <c r="ABY13" s="2"/>
      <c r="ABZ13" s="2"/>
      <c r="ACA13" s="2"/>
      <c r="ACB13" s="2"/>
      <c r="ACC13" s="2"/>
      <c r="ACD13" s="2"/>
      <c r="ACE13" s="2"/>
      <c r="ACF13" s="2"/>
      <c r="ACG13" s="2"/>
      <c r="ACH13" s="2"/>
      <c r="ACI13" s="2"/>
      <c r="ACJ13" s="2"/>
      <c r="ACK13" s="2"/>
      <c r="ACL13" s="2"/>
      <c r="ACM13" s="2"/>
      <c r="ACN13" s="2"/>
      <c r="ACO13" s="2"/>
      <c r="ACP13" s="2"/>
      <c r="ACQ13" s="2"/>
      <c r="ACR13" s="2"/>
      <c r="ACS13" s="2"/>
      <c r="ACT13" s="2"/>
      <c r="ACU13" s="2"/>
      <c r="ACV13" s="2"/>
      <c r="ACW13" s="2"/>
      <c r="ACX13" s="2"/>
      <c r="ACY13" s="2"/>
      <c r="ACZ13" s="2"/>
      <c r="ADA13" s="2"/>
      <c r="ADB13" s="2"/>
      <c r="ADC13" s="2"/>
      <c r="ADD13" s="2"/>
      <c r="ADE13" s="2"/>
      <c r="ADF13" s="2"/>
      <c r="ADG13" s="2"/>
      <c r="ADH13" s="2"/>
      <c r="ADI13" s="2"/>
      <c r="ADJ13" s="2"/>
      <c r="ADK13" s="2"/>
      <c r="ADL13" s="2"/>
      <c r="ADM13" s="2"/>
      <c r="ADN13" s="2"/>
      <c r="ADO13" s="2"/>
      <c r="ADP13" s="2"/>
      <c r="ADQ13" s="2"/>
      <c r="ADR13" s="2"/>
      <c r="ADS13" s="2"/>
      <c r="ADT13" s="2"/>
      <c r="ADU13" s="2"/>
      <c r="ADV13" s="2"/>
      <c r="ADW13" s="2"/>
      <c r="ADX13" s="2"/>
      <c r="ADY13" s="2"/>
      <c r="ADZ13" s="2"/>
      <c r="AEA13" s="2"/>
      <c r="AEB13" s="2"/>
      <c r="AEC13" s="2"/>
      <c r="AED13" s="2"/>
      <c r="AEE13" s="2"/>
      <c r="AEF13" s="2"/>
      <c r="AEG13" s="2"/>
      <c r="AEH13" s="2"/>
      <c r="AEI13" s="2"/>
      <c r="AEJ13" s="2"/>
      <c r="AEK13" s="2"/>
      <c r="AEL13" s="2"/>
      <c r="AEM13" s="2"/>
      <c r="AEN13" s="2"/>
      <c r="AEO13" s="2"/>
      <c r="AEP13" s="2"/>
      <c r="AEQ13" s="2"/>
      <c r="AER13" s="2"/>
      <c r="AES13" s="2"/>
      <c r="AET13" s="2"/>
      <c r="AEU13" s="2"/>
      <c r="AEV13" s="2"/>
      <c r="AEW13" s="2"/>
      <c r="AEX13" s="2"/>
      <c r="AEY13" s="2"/>
      <c r="AEZ13" s="2"/>
      <c r="AFA13" s="2"/>
      <c r="AFB13" s="2"/>
      <c r="AFC13" s="2"/>
      <c r="AFD13" s="2"/>
      <c r="AFE13" s="2"/>
      <c r="AFF13" s="2"/>
      <c r="AFG13" s="2"/>
      <c r="AFH13" s="2"/>
      <c r="AFI13" s="2"/>
      <c r="AFJ13" s="2"/>
      <c r="AFK13" s="2"/>
      <c r="AFL13" s="2"/>
      <c r="AFM13" s="2"/>
      <c r="AFN13" s="2"/>
      <c r="AFO13" s="2"/>
      <c r="AFP13" s="2"/>
      <c r="AFQ13" s="2"/>
      <c r="AFR13" s="2"/>
      <c r="AFS13" s="2"/>
      <c r="AFT13" s="2"/>
      <c r="AFU13" s="2"/>
      <c r="AFV13" s="2"/>
      <c r="AFW13" s="2"/>
      <c r="AFX13" s="2"/>
      <c r="AFY13" s="2"/>
      <c r="AFZ13" s="2"/>
      <c r="AGA13" s="2"/>
      <c r="AGB13" s="2"/>
      <c r="AGC13" s="2"/>
      <c r="AGD13" s="2"/>
      <c r="AGE13" s="2"/>
      <c r="AGF13" s="2"/>
      <c r="AGG13" s="2"/>
      <c r="AGH13" s="2"/>
      <c r="AGI13" s="2"/>
      <c r="AGJ13" s="2"/>
      <c r="AGK13" s="2"/>
      <c r="AGL13" s="2"/>
      <c r="AGM13" s="2"/>
      <c r="AGN13" s="2"/>
      <c r="AGO13" s="2"/>
      <c r="AGP13" s="2"/>
      <c r="AGQ13" s="2"/>
      <c r="AGR13" s="2"/>
      <c r="AGS13" s="2"/>
      <c r="AGT13" s="2"/>
      <c r="AGU13" s="2"/>
      <c r="AGV13" s="2"/>
      <c r="AGW13" s="2"/>
      <c r="AGX13" s="2"/>
      <c r="AGY13" s="2"/>
      <c r="AGZ13" s="2"/>
      <c r="AHA13" s="2"/>
      <c r="AHB13" s="2"/>
      <c r="AHC13" s="2"/>
      <c r="AHD13" s="2"/>
      <c r="AHE13" s="2"/>
      <c r="AHF13" s="2"/>
      <c r="AHG13" s="2"/>
      <c r="AHH13" s="2"/>
      <c r="AHI13" s="2"/>
      <c r="AHJ13" s="2"/>
      <c r="AHK13" s="2"/>
      <c r="AHL13" s="2"/>
      <c r="AHM13" s="2"/>
      <c r="AHN13" s="2"/>
      <c r="AHO13" s="2"/>
      <c r="AHP13" s="2"/>
      <c r="AHQ13" s="2"/>
      <c r="AHR13" s="2"/>
      <c r="AHS13" s="2"/>
      <c r="AHT13" s="2"/>
      <c r="AHU13" s="2"/>
      <c r="AHV13" s="2"/>
      <c r="AHW13" s="2"/>
      <c r="AHX13" s="2"/>
      <c r="AHY13" s="2"/>
      <c r="AHZ13" s="2"/>
      <c r="AIA13" s="2"/>
      <c r="AIB13" s="2"/>
      <c r="AIC13" s="2"/>
      <c r="AID13" s="2"/>
      <c r="AIE13" s="2"/>
      <c r="AIF13" s="2"/>
      <c r="AIG13" s="2"/>
      <c r="AIH13" s="2"/>
      <c r="AII13" s="2"/>
      <c r="AIJ13" s="2"/>
      <c r="AIK13" s="2"/>
      <c r="AIL13" s="2"/>
      <c r="AIM13" s="2"/>
      <c r="AIN13" s="2"/>
      <c r="AIO13" s="2"/>
      <c r="AIP13" s="2"/>
      <c r="AIQ13" s="2"/>
      <c r="AIR13" s="2"/>
      <c r="AIS13" s="2"/>
      <c r="AIT13" s="2"/>
      <c r="AIU13" s="2"/>
      <c r="AIV13" s="2"/>
      <c r="AIW13" s="2"/>
      <c r="AIX13" s="2"/>
      <c r="AIY13" s="2"/>
      <c r="AIZ13" s="2"/>
      <c r="AJA13" s="2"/>
      <c r="AJB13" s="2"/>
      <c r="AJC13" s="2"/>
      <c r="AJD13" s="2"/>
      <c r="AJE13" s="2"/>
      <c r="AJF13" s="2"/>
      <c r="AJG13" s="2"/>
      <c r="AJH13" s="2"/>
      <c r="AJI13" s="2"/>
      <c r="AJJ13" s="2"/>
      <c r="AJK13" s="2"/>
      <c r="AJL13" s="2"/>
      <c r="AJM13" s="2"/>
      <c r="AJN13" s="2"/>
      <c r="AJO13" s="2"/>
      <c r="AJP13" s="2"/>
      <c r="AJQ13" s="2"/>
      <c r="AJR13" s="2"/>
      <c r="AJS13" s="2"/>
      <c r="AJT13" s="2"/>
      <c r="AJU13" s="2"/>
      <c r="AJV13" s="2"/>
      <c r="AJW13" s="2"/>
      <c r="AJX13" s="2"/>
      <c r="AJY13" s="2"/>
      <c r="AJZ13" s="2"/>
      <c r="AKA13" s="2"/>
      <c r="AKB13" s="2"/>
      <c r="AKC13" s="2"/>
      <c r="AKD13" s="2"/>
      <c r="AKE13" s="2"/>
      <c r="AKF13" s="2"/>
      <c r="AKG13" s="2"/>
      <c r="AKH13" s="2"/>
      <c r="AKI13" s="2"/>
      <c r="AKJ13" s="2"/>
      <c r="AKK13" s="2"/>
      <c r="AKL13" s="2"/>
      <c r="AKM13" s="2"/>
      <c r="AKN13" s="2"/>
      <c r="AKO13" s="2"/>
      <c r="AKP13" s="2"/>
      <c r="AKQ13" s="2"/>
      <c r="AKR13" s="2"/>
      <c r="AKS13" s="2"/>
      <c r="AKT13" s="2"/>
      <c r="AKU13" s="2"/>
      <c r="AKV13" s="2"/>
      <c r="AKW13" s="2"/>
      <c r="AKX13" s="2"/>
      <c r="AKY13" s="2"/>
      <c r="AKZ13" s="2"/>
      <c r="ALA13" s="2"/>
      <c r="ALB13" s="2"/>
      <c r="ALC13" s="2"/>
      <c r="ALD13" s="2"/>
      <c r="ALE13" s="2"/>
      <c r="ALF13" s="2"/>
      <c r="ALG13" s="2"/>
      <c r="ALH13" s="2"/>
      <c r="ALI13" s="2"/>
      <c r="ALJ13" s="2"/>
      <c r="ALK13" s="2"/>
      <c r="ALL13" s="2"/>
      <c r="ALM13" s="2"/>
      <c r="ALN13" s="2"/>
      <c r="ALO13" s="2"/>
      <c r="ALP13" s="2"/>
      <c r="ALQ13" s="2"/>
      <c r="ALR13" s="2"/>
      <c r="ALS13" s="2"/>
      <c r="ALT13" s="2"/>
      <c r="ALU13" s="2"/>
      <c r="ALV13" s="2"/>
      <c r="ALW13" s="2"/>
      <c r="ALX13" s="2"/>
    </row>
    <row r="14" customFormat="false" ht="15" hidden="false" customHeight="true" outlineLevel="0" collapsed="false">
      <c r="A14" s="2"/>
      <c r="B14" s="64" t="s">
        <v>92</v>
      </c>
      <c r="C14" s="65" t="n">
        <f aca="false">VLOOKUP($B14,Unidades!$D$5:$N$24,6,FALSE())</f>
        <v>2048</v>
      </c>
      <c r="D14" s="65" t="n">
        <f aca="false">VLOOKUP($B14,Unidades!$D$5:$N$24,7,FALSE())</f>
        <v>1174.52</v>
      </c>
      <c r="E14" s="65" t="n">
        <f aca="false">VLOOKUP($B14,Unidades!$D$5:$N$24,8,FALSE())</f>
        <v>810</v>
      </c>
      <c r="F14" s="65" t="n">
        <f aca="false">VLOOKUP($B14,Unidades!$D$5:$N$24,9,FALSE())</f>
        <v>63.48</v>
      </c>
      <c r="G14" s="65" t="n">
        <f aca="false">D14+E14*$E$6+F14*$F$6</f>
        <v>1464.368</v>
      </c>
      <c r="H14" s="66" t="n">
        <f aca="false">IF(G14&lt;750,1.5,IF(G14&lt;2000,2,3))</f>
        <v>2</v>
      </c>
      <c r="I14" s="66" t="n">
        <f aca="false">$I$6*H14</f>
        <v>2.4</v>
      </c>
      <c r="J14" s="66" t="str">
        <f aca="false">VLOOKUP($B14,Unidades!$D$5:$N$24,10,FALSE())</f>
        <v>NÃO</v>
      </c>
      <c r="K14" s="66" t="str">
        <f aca="false">VLOOKUP($B14,Unidades!$D$5:$N$24,11,FALSE())</f>
        <v>SIM</v>
      </c>
      <c r="L14" s="66" t="n">
        <f aca="false">$L$6*H14+(IF(J14="SIM",$J$6,0))</f>
        <v>2.2</v>
      </c>
      <c r="M14" s="66" t="n">
        <f aca="false">$M$6*H14+(IF(J14="SIM",$J$6,0))+(IF(K14="SIM",$K$6,0))</f>
        <v>6.2</v>
      </c>
      <c r="N14" s="66" t="n">
        <f aca="false">H14*12+I14*4+L14*2+M14</f>
        <v>44.2</v>
      </c>
      <c r="O14" s="67" t="n">
        <f aca="false">IF(K14="não", N14*(C$21+D$21),N14*(C$21+D$21)+(M14*+E$21))</f>
        <v>2752.058</v>
      </c>
      <c r="P14" s="68"/>
      <c r="Q14" s="22" t="str">
        <f aca="false">B14</f>
        <v>APS RIO DO SUL</v>
      </c>
      <c r="R14" s="24" t="n">
        <f aca="false">H14*($C$21+$D$21)</f>
        <v>113</v>
      </c>
      <c r="S14" s="24" t="n">
        <f aca="false">I14*($C$21+$D$21)</f>
        <v>135.6</v>
      </c>
      <c r="T14" s="24" t="n">
        <f aca="false">L14*($C$21+$D$21)</f>
        <v>124.3</v>
      </c>
      <c r="U14" s="24" t="n">
        <f aca="false">IF(K14="não",M14*($C$21+$D$21),M14*(C$21+D$21+E$21))</f>
        <v>605.058</v>
      </c>
      <c r="V14" s="24" t="n">
        <f aca="false">VLOOKUP(Q14,'Desl. Base Blumenau'!$C$5:$S$15,13,FALSE())*($C$21+$D$21+$E$21*(VLOOKUP(Q14,'Desl. Base Blumenau'!$C$5:$S$15,17,FALSE())/12))</f>
        <v>101.371715277778</v>
      </c>
      <c r="W14" s="24" t="n">
        <f aca="false">VLOOKUP(Q14,'Desl. Base Blumenau'!$C$5:$S$15,15,FALSE())*(2+(VLOOKUP(Q14,'Desl. Base Blumenau'!$C$5:$S$15,17,FALSE())/12))</f>
        <v>0</v>
      </c>
      <c r="X14" s="24" t="n">
        <f aca="false">VLOOKUP(Q14,'Desl. Base Blumenau'!$C$5:$Q$15,14,FALSE())</f>
        <v>0</v>
      </c>
      <c r="Y14" s="24" t="n">
        <f aca="false">VLOOKUP(Q14,'Desl. Base Blumenau'!$C$5:$Q$15,13,FALSE())*'Desl. Base Blumenau'!$E$20+'Desl. Base Blumenau'!$E$21*N14/12</f>
        <v>113.599666666667</v>
      </c>
      <c r="Z14" s="24" t="n">
        <f aca="false">(H14/$AC$5)*'Equipe Técnica'!$C$13</f>
        <v>458.695528191834</v>
      </c>
      <c r="AA14" s="24" t="n">
        <f aca="false">(I14/$AC$5)*'Equipe Técnica'!$C$13</f>
        <v>550.434633830201</v>
      </c>
      <c r="AB14" s="24" t="n">
        <f aca="false">(L14/$AC$5)*'Equipe Técnica'!$C$13</f>
        <v>504.565081011018</v>
      </c>
      <c r="AC14" s="24" t="n">
        <f aca="false">(M14/$AC$5)*'Equipe Técnica'!$C$13</f>
        <v>1421.95613739469</v>
      </c>
      <c r="AD14" s="24" t="n">
        <f aca="false">R14+(($V14+$W14+$X14+$Y14)*12/19)+$Z14</f>
        <v>707.466927314642</v>
      </c>
      <c r="AE14" s="24" t="n">
        <f aca="false">S14+(($V14+$W14+$X14+$Y14)*12/19)+$AA14</f>
        <v>821.806032953008</v>
      </c>
      <c r="AF14" s="24" t="n">
        <f aca="false">T14+(($V14+$W14+$X14+$Y14)*12/19)+$AB14</f>
        <v>764.636480133825</v>
      </c>
      <c r="AG14" s="24" t="n">
        <f aca="false">U14+(($V14+$W14+$X14+$Y14)*12/19)+$AC14</f>
        <v>2162.78553651749</v>
      </c>
      <c r="AH14" s="2"/>
      <c r="AI14" s="22" t="str">
        <f aca="false">B14</f>
        <v>APS RIO DO SUL</v>
      </c>
      <c r="AJ14" s="69" t="n">
        <f aca="false">VLOOKUP(AI14,Unidades!D$5:H$24,5,)</f>
        <v>0.2223</v>
      </c>
      <c r="AK14" s="48" t="n">
        <f aca="false">AD14*(1+$AJ14)</f>
        <v>864.736825256686</v>
      </c>
      <c r="AL14" s="48" t="n">
        <f aca="false">AE14*(1+$AJ14)</f>
        <v>1004.49351407846</v>
      </c>
      <c r="AM14" s="48" t="n">
        <f aca="false">AF14*(1+$AJ14)</f>
        <v>934.615169667574</v>
      </c>
      <c r="AN14" s="48" t="n">
        <f aca="false">AG14*(1+$AJ14)</f>
        <v>2643.57276128533</v>
      </c>
      <c r="AO14" s="48" t="n">
        <f aca="false">((AK14*12)+(AL14*4)+(AM14*2)+AN14)/12</f>
        <v>1575.63492166788</v>
      </c>
      <c r="AP14" s="48" t="n">
        <f aca="false">AO14*3</f>
        <v>4726.90476500364</v>
      </c>
      <c r="AQ14" s="48" t="n">
        <f aca="false">AO14+AP14</f>
        <v>6302.53968667152</v>
      </c>
      <c r="AR14" s="70"/>
      <c r="AS14" s="73" t="s">
        <v>93</v>
      </c>
      <c r="AT14" s="48" t="n">
        <f aca="false">AT10+AT12</f>
        <v>54933.2132798232</v>
      </c>
      <c r="AU14" s="48"/>
      <c r="AV14" s="72"/>
      <c r="AW14" s="7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"/>
      <c r="NH14" s="2"/>
      <c r="NI14" s="2"/>
      <c r="NJ14" s="2"/>
      <c r="NK14" s="2"/>
      <c r="NL14" s="2"/>
      <c r="NM14" s="2"/>
      <c r="NN14" s="2"/>
      <c r="NO14" s="2"/>
      <c r="NP14" s="2"/>
      <c r="NQ14" s="2"/>
      <c r="NR14" s="2"/>
      <c r="NS14" s="2"/>
      <c r="NT14" s="2"/>
      <c r="NU14" s="2"/>
      <c r="NV14" s="2"/>
      <c r="NW14" s="2"/>
      <c r="NX14" s="2"/>
      <c r="NY14" s="2"/>
      <c r="NZ14" s="2"/>
      <c r="OA14" s="2"/>
      <c r="OB14" s="2"/>
      <c r="OC14" s="2"/>
      <c r="OD14" s="2"/>
      <c r="OE14" s="2"/>
      <c r="OF14" s="2"/>
      <c r="OG14" s="2"/>
      <c r="OH14" s="2"/>
      <c r="OI14" s="2"/>
      <c r="OJ14" s="2"/>
      <c r="OK14" s="2"/>
      <c r="OL14" s="2"/>
      <c r="OM14" s="2"/>
      <c r="ON14" s="2"/>
      <c r="OO14" s="2"/>
      <c r="OP14" s="2"/>
      <c r="OQ14" s="2"/>
      <c r="OR14" s="2"/>
      <c r="OS14" s="2"/>
      <c r="OT14" s="2"/>
      <c r="OU14" s="2"/>
      <c r="OV14" s="2"/>
      <c r="OW14" s="2"/>
      <c r="OX14" s="2"/>
      <c r="OY14" s="2"/>
      <c r="OZ14" s="2"/>
      <c r="PA14" s="2"/>
      <c r="PB14" s="2"/>
      <c r="PC14" s="2"/>
      <c r="PD14" s="2"/>
      <c r="PE14" s="2"/>
      <c r="PF14" s="2"/>
      <c r="PG14" s="2"/>
      <c r="PH14" s="2"/>
      <c r="PI14" s="2"/>
      <c r="PJ14" s="2"/>
      <c r="PK14" s="2"/>
      <c r="PL14" s="2"/>
      <c r="PM14" s="2"/>
      <c r="PN14" s="2"/>
      <c r="PO14" s="2"/>
      <c r="PP14" s="2"/>
      <c r="PQ14" s="2"/>
      <c r="PR14" s="2"/>
      <c r="PS14" s="2"/>
      <c r="PT14" s="2"/>
      <c r="PU14" s="2"/>
      <c r="PV14" s="2"/>
      <c r="PW14" s="2"/>
      <c r="PX14" s="2"/>
      <c r="PY14" s="2"/>
      <c r="PZ14" s="2"/>
      <c r="QA14" s="2"/>
      <c r="QB14" s="2"/>
      <c r="QC14" s="2"/>
      <c r="QD14" s="2"/>
      <c r="QE14" s="2"/>
      <c r="QF14" s="2"/>
      <c r="QG14" s="2"/>
      <c r="QH14" s="2"/>
      <c r="QI14" s="2"/>
      <c r="QJ14" s="2"/>
      <c r="QK14" s="2"/>
      <c r="QL14" s="2"/>
      <c r="QM14" s="2"/>
      <c r="QN14" s="2"/>
      <c r="QO14" s="2"/>
      <c r="QP14" s="2"/>
      <c r="QQ14" s="2"/>
      <c r="QR14" s="2"/>
      <c r="QS14" s="2"/>
      <c r="QT14" s="2"/>
      <c r="QU14" s="2"/>
      <c r="QV14" s="2"/>
      <c r="QW14" s="2"/>
      <c r="QX14" s="2"/>
      <c r="QY14" s="2"/>
      <c r="QZ14" s="2"/>
      <c r="RA14" s="2"/>
      <c r="RB14" s="2"/>
      <c r="RC14" s="2"/>
      <c r="RD14" s="2"/>
      <c r="RE14" s="2"/>
      <c r="RF14" s="2"/>
      <c r="RG14" s="2"/>
      <c r="RH14" s="2"/>
      <c r="RI14" s="2"/>
      <c r="RJ14" s="2"/>
      <c r="RK14" s="2"/>
      <c r="RL14" s="2"/>
      <c r="RM14" s="2"/>
      <c r="RN14" s="2"/>
      <c r="RO14" s="2"/>
      <c r="RP14" s="2"/>
      <c r="RQ14" s="2"/>
      <c r="RR14" s="2"/>
      <c r="RS14" s="2"/>
      <c r="RT14" s="2"/>
      <c r="RU14" s="2"/>
      <c r="RV14" s="2"/>
      <c r="RW14" s="2"/>
      <c r="RX14" s="2"/>
      <c r="RY14" s="2"/>
      <c r="RZ14" s="2"/>
      <c r="SA14" s="2"/>
      <c r="SB14" s="2"/>
      <c r="SC14" s="2"/>
      <c r="SD14" s="2"/>
      <c r="SE14" s="2"/>
      <c r="SF14" s="2"/>
      <c r="SG14" s="2"/>
      <c r="SH14" s="2"/>
      <c r="SI14" s="2"/>
      <c r="SJ14" s="2"/>
      <c r="SK14" s="2"/>
      <c r="SL14" s="2"/>
      <c r="SM14" s="2"/>
      <c r="SN14" s="2"/>
      <c r="SO14" s="2"/>
      <c r="SP14" s="2"/>
      <c r="SQ14" s="2"/>
      <c r="SR14" s="2"/>
      <c r="SS14" s="2"/>
      <c r="ST14" s="2"/>
      <c r="SU14" s="2"/>
      <c r="SV14" s="2"/>
      <c r="SW14" s="2"/>
      <c r="SX14" s="2"/>
      <c r="SY14" s="2"/>
      <c r="SZ14" s="2"/>
      <c r="TA14" s="2"/>
      <c r="TB14" s="2"/>
      <c r="TC14" s="2"/>
      <c r="TD14" s="2"/>
      <c r="TE14" s="2"/>
      <c r="TF14" s="2"/>
      <c r="TG14" s="2"/>
      <c r="TH14" s="2"/>
      <c r="TI14" s="2"/>
      <c r="TJ14" s="2"/>
      <c r="TK14" s="2"/>
      <c r="TL14" s="2"/>
      <c r="TM14" s="2"/>
      <c r="TN14" s="2"/>
      <c r="TO14" s="2"/>
      <c r="TP14" s="2"/>
      <c r="TQ14" s="2"/>
      <c r="TR14" s="2"/>
      <c r="TS14" s="2"/>
      <c r="TT14" s="2"/>
      <c r="TU14" s="2"/>
      <c r="TV14" s="2"/>
      <c r="TW14" s="2"/>
      <c r="TX14" s="2"/>
      <c r="TY14" s="2"/>
      <c r="TZ14" s="2"/>
      <c r="UA14" s="2"/>
      <c r="UB14" s="2"/>
      <c r="UC14" s="2"/>
      <c r="UD14" s="2"/>
      <c r="UE14" s="2"/>
      <c r="UF14" s="2"/>
      <c r="UG14" s="2"/>
      <c r="UH14" s="2"/>
      <c r="UI14" s="2"/>
      <c r="UJ14" s="2"/>
      <c r="UK14" s="2"/>
      <c r="UL14" s="2"/>
      <c r="UM14" s="2"/>
      <c r="UN14" s="2"/>
      <c r="UO14" s="2"/>
      <c r="UP14" s="2"/>
      <c r="UQ14" s="2"/>
      <c r="UR14" s="2"/>
      <c r="US14" s="2"/>
      <c r="UT14" s="2"/>
      <c r="UU14" s="2"/>
      <c r="UV14" s="2"/>
      <c r="UW14" s="2"/>
      <c r="UX14" s="2"/>
      <c r="UY14" s="2"/>
      <c r="UZ14" s="2"/>
      <c r="VA14" s="2"/>
      <c r="VB14" s="2"/>
      <c r="VC14" s="2"/>
      <c r="VD14" s="2"/>
      <c r="VE14" s="2"/>
      <c r="VF14" s="2"/>
      <c r="VG14" s="2"/>
      <c r="VH14" s="2"/>
      <c r="VI14" s="2"/>
      <c r="VJ14" s="2"/>
      <c r="VK14" s="2"/>
      <c r="VL14" s="2"/>
      <c r="VM14" s="2"/>
      <c r="VN14" s="2"/>
      <c r="VO14" s="2"/>
      <c r="VP14" s="2"/>
      <c r="VQ14" s="2"/>
      <c r="VR14" s="2"/>
      <c r="VS14" s="2"/>
      <c r="VT14" s="2"/>
      <c r="VU14" s="2"/>
      <c r="VV14" s="2"/>
      <c r="VW14" s="2"/>
      <c r="VX14" s="2"/>
      <c r="VY14" s="2"/>
      <c r="VZ14" s="2"/>
      <c r="WA14" s="2"/>
      <c r="WB14" s="2"/>
      <c r="WC14" s="2"/>
      <c r="WD14" s="2"/>
      <c r="WE14" s="2"/>
      <c r="WF14" s="2"/>
      <c r="WG14" s="2"/>
      <c r="WH14" s="2"/>
      <c r="WI14" s="2"/>
      <c r="WJ14" s="2"/>
      <c r="WK14" s="2"/>
      <c r="WL14" s="2"/>
      <c r="WM14" s="2"/>
      <c r="WN14" s="2"/>
      <c r="WO14" s="2"/>
      <c r="WP14" s="2"/>
      <c r="WQ14" s="2"/>
      <c r="WR14" s="2"/>
      <c r="WS14" s="2"/>
      <c r="WT14" s="2"/>
      <c r="WU14" s="2"/>
      <c r="WV14" s="2"/>
      <c r="WW14" s="2"/>
      <c r="WX14" s="2"/>
      <c r="WY14" s="2"/>
      <c r="WZ14" s="2"/>
      <c r="XA14" s="2"/>
      <c r="XB14" s="2"/>
      <c r="XC14" s="2"/>
      <c r="XD14" s="2"/>
      <c r="XE14" s="2"/>
      <c r="XF14" s="2"/>
      <c r="XG14" s="2"/>
      <c r="XH14" s="2"/>
      <c r="XI14" s="2"/>
      <c r="XJ14" s="2"/>
      <c r="XK14" s="2"/>
      <c r="XL14" s="2"/>
      <c r="XM14" s="2"/>
      <c r="XN14" s="2"/>
      <c r="XO14" s="2"/>
      <c r="XP14" s="2"/>
      <c r="XQ14" s="2"/>
      <c r="XR14" s="2"/>
      <c r="XS14" s="2"/>
      <c r="XT14" s="2"/>
      <c r="XU14" s="2"/>
      <c r="XV14" s="2"/>
      <c r="XW14" s="2"/>
      <c r="XX14" s="2"/>
      <c r="XY14" s="2"/>
      <c r="XZ14" s="2"/>
      <c r="YA14" s="2"/>
      <c r="YB14" s="2"/>
      <c r="YC14" s="2"/>
      <c r="YD14" s="2"/>
      <c r="YE14" s="2"/>
      <c r="YF14" s="2"/>
      <c r="YG14" s="2"/>
      <c r="YH14" s="2"/>
      <c r="YI14" s="2"/>
      <c r="YJ14" s="2"/>
      <c r="YK14" s="2"/>
      <c r="YL14" s="2"/>
      <c r="YM14" s="2"/>
      <c r="YN14" s="2"/>
      <c r="YO14" s="2"/>
      <c r="YP14" s="2"/>
      <c r="YQ14" s="2"/>
      <c r="YR14" s="2"/>
      <c r="YS14" s="2"/>
      <c r="YT14" s="2"/>
      <c r="YU14" s="2"/>
      <c r="YV14" s="2"/>
      <c r="YW14" s="2"/>
      <c r="YX14" s="2"/>
      <c r="YY14" s="2"/>
      <c r="YZ14" s="2"/>
      <c r="ZA14" s="2"/>
      <c r="ZB14" s="2"/>
      <c r="ZC14" s="2"/>
      <c r="ZD14" s="2"/>
      <c r="ZE14" s="2"/>
      <c r="ZF14" s="2"/>
      <c r="ZG14" s="2"/>
      <c r="ZH14" s="2"/>
      <c r="ZI14" s="2"/>
      <c r="ZJ14" s="2"/>
      <c r="ZK14" s="2"/>
      <c r="ZL14" s="2"/>
      <c r="ZM14" s="2"/>
      <c r="ZN14" s="2"/>
      <c r="ZO14" s="2"/>
      <c r="ZP14" s="2"/>
      <c r="ZQ14" s="2"/>
      <c r="ZR14" s="2"/>
      <c r="ZS14" s="2"/>
      <c r="ZT14" s="2"/>
      <c r="ZU14" s="2"/>
      <c r="ZV14" s="2"/>
      <c r="ZW14" s="2"/>
      <c r="ZX14" s="2"/>
      <c r="ZY14" s="2"/>
      <c r="ZZ14" s="2"/>
      <c r="AAA14" s="2"/>
      <c r="AAB14" s="2"/>
      <c r="AAC14" s="2"/>
      <c r="AAD14" s="2"/>
      <c r="AAE14" s="2"/>
      <c r="AAF14" s="2"/>
      <c r="AAG14" s="2"/>
      <c r="AAH14" s="2"/>
      <c r="AAI14" s="2"/>
      <c r="AAJ14" s="2"/>
      <c r="AAK14" s="2"/>
      <c r="AAL14" s="2"/>
      <c r="AAM14" s="2"/>
      <c r="AAN14" s="2"/>
      <c r="AAO14" s="2"/>
      <c r="AAP14" s="2"/>
      <c r="AAQ14" s="2"/>
      <c r="AAR14" s="2"/>
      <c r="AAS14" s="2"/>
      <c r="AAT14" s="2"/>
      <c r="AAU14" s="2"/>
      <c r="AAV14" s="2"/>
      <c r="AAW14" s="2"/>
      <c r="AAX14" s="2"/>
      <c r="AAY14" s="2"/>
      <c r="AAZ14" s="2"/>
      <c r="ABA14" s="2"/>
      <c r="ABB14" s="2"/>
      <c r="ABC14" s="2"/>
      <c r="ABD14" s="2"/>
      <c r="ABE14" s="2"/>
      <c r="ABF14" s="2"/>
      <c r="ABG14" s="2"/>
      <c r="ABH14" s="2"/>
      <c r="ABI14" s="2"/>
      <c r="ABJ14" s="2"/>
      <c r="ABK14" s="2"/>
      <c r="ABL14" s="2"/>
      <c r="ABM14" s="2"/>
      <c r="ABN14" s="2"/>
      <c r="ABO14" s="2"/>
      <c r="ABP14" s="2"/>
      <c r="ABQ14" s="2"/>
      <c r="ABR14" s="2"/>
      <c r="ABS14" s="2"/>
      <c r="ABT14" s="2"/>
      <c r="ABU14" s="2"/>
      <c r="ABV14" s="2"/>
      <c r="ABW14" s="2"/>
      <c r="ABX14" s="2"/>
      <c r="ABY14" s="2"/>
      <c r="ABZ14" s="2"/>
      <c r="ACA14" s="2"/>
      <c r="ACB14" s="2"/>
      <c r="ACC14" s="2"/>
      <c r="ACD14" s="2"/>
      <c r="ACE14" s="2"/>
      <c r="ACF14" s="2"/>
      <c r="ACG14" s="2"/>
      <c r="ACH14" s="2"/>
      <c r="ACI14" s="2"/>
      <c r="ACJ14" s="2"/>
      <c r="ACK14" s="2"/>
      <c r="ACL14" s="2"/>
      <c r="ACM14" s="2"/>
      <c r="ACN14" s="2"/>
      <c r="ACO14" s="2"/>
      <c r="ACP14" s="2"/>
      <c r="ACQ14" s="2"/>
      <c r="ACR14" s="2"/>
      <c r="ACS14" s="2"/>
      <c r="ACT14" s="2"/>
      <c r="ACU14" s="2"/>
      <c r="ACV14" s="2"/>
      <c r="ACW14" s="2"/>
      <c r="ACX14" s="2"/>
      <c r="ACY14" s="2"/>
      <c r="ACZ14" s="2"/>
      <c r="ADA14" s="2"/>
      <c r="ADB14" s="2"/>
      <c r="ADC14" s="2"/>
      <c r="ADD14" s="2"/>
      <c r="ADE14" s="2"/>
      <c r="ADF14" s="2"/>
      <c r="ADG14" s="2"/>
      <c r="ADH14" s="2"/>
      <c r="ADI14" s="2"/>
      <c r="ADJ14" s="2"/>
      <c r="ADK14" s="2"/>
      <c r="ADL14" s="2"/>
      <c r="ADM14" s="2"/>
      <c r="ADN14" s="2"/>
      <c r="ADO14" s="2"/>
      <c r="ADP14" s="2"/>
      <c r="ADQ14" s="2"/>
      <c r="ADR14" s="2"/>
      <c r="ADS14" s="2"/>
      <c r="ADT14" s="2"/>
      <c r="ADU14" s="2"/>
      <c r="ADV14" s="2"/>
      <c r="ADW14" s="2"/>
      <c r="ADX14" s="2"/>
      <c r="ADY14" s="2"/>
      <c r="ADZ14" s="2"/>
      <c r="AEA14" s="2"/>
      <c r="AEB14" s="2"/>
      <c r="AEC14" s="2"/>
      <c r="AED14" s="2"/>
      <c r="AEE14" s="2"/>
      <c r="AEF14" s="2"/>
      <c r="AEG14" s="2"/>
      <c r="AEH14" s="2"/>
      <c r="AEI14" s="2"/>
      <c r="AEJ14" s="2"/>
      <c r="AEK14" s="2"/>
      <c r="AEL14" s="2"/>
      <c r="AEM14" s="2"/>
      <c r="AEN14" s="2"/>
      <c r="AEO14" s="2"/>
      <c r="AEP14" s="2"/>
      <c r="AEQ14" s="2"/>
      <c r="AER14" s="2"/>
      <c r="AES14" s="2"/>
      <c r="AET14" s="2"/>
      <c r="AEU14" s="2"/>
      <c r="AEV14" s="2"/>
      <c r="AEW14" s="2"/>
      <c r="AEX14" s="2"/>
      <c r="AEY14" s="2"/>
      <c r="AEZ14" s="2"/>
      <c r="AFA14" s="2"/>
      <c r="AFB14" s="2"/>
      <c r="AFC14" s="2"/>
      <c r="AFD14" s="2"/>
      <c r="AFE14" s="2"/>
      <c r="AFF14" s="2"/>
      <c r="AFG14" s="2"/>
      <c r="AFH14" s="2"/>
      <c r="AFI14" s="2"/>
      <c r="AFJ14" s="2"/>
      <c r="AFK14" s="2"/>
      <c r="AFL14" s="2"/>
      <c r="AFM14" s="2"/>
      <c r="AFN14" s="2"/>
      <c r="AFO14" s="2"/>
      <c r="AFP14" s="2"/>
      <c r="AFQ14" s="2"/>
      <c r="AFR14" s="2"/>
      <c r="AFS14" s="2"/>
      <c r="AFT14" s="2"/>
      <c r="AFU14" s="2"/>
      <c r="AFV14" s="2"/>
      <c r="AFW14" s="2"/>
      <c r="AFX14" s="2"/>
      <c r="AFY14" s="2"/>
      <c r="AFZ14" s="2"/>
      <c r="AGA14" s="2"/>
      <c r="AGB14" s="2"/>
      <c r="AGC14" s="2"/>
      <c r="AGD14" s="2"/>
      <c r="AGE14" s="2"/>
      <c r="AGF14" s="2"/>
      <c r="AGG14" s="2"/>
      <c r="AGH14" s="2"/>
      <c r="AGI14" s="2"/>
      <c r="AGJ14" s="2"/>
      <c r="AGK14" s="2"/>
      <c r="AGL14" s="2"/>
      <c r="AGM14" s="2"/>
      <c r="AGN14" s="2"/>
      <c r="AGO14" s="2"/>
      <c r="AGP14" s="2"/>
      <c r="AGQ14" s="2"/>
      <c r="AGR14" s="2"/>
      <c r="AGS14" s="2"/>
      <c r="AGT14" s="2"/>
      <c r="AGU14" s="2"/>
      <c r="AGV14" s="2"/>
      <c r="AGW14" s="2"/>
      <c r="AGX14" s="2"/>
      <c r="AGY14" s="2"/>
      <c r="AGZ14" s="2"/>
      <c r="AHA14" s="2"/>
      <c r="AHB14" s="2"/>
      <c r="AHC14" s="2"/>
      <c r="AHD14" s="2"/>
      <c r="AHE14" s="2"/>
      <c r="AHF14" s="2"/>
      <c r="AHG14" s="2"/>
      <c r="AHH14" s="2"/>
      <c r="AHI14" s="2"/>
      <c r="AHJ14" s="2"/>
      <c r="AHK14" s="2"/>
      <c r="AHL14" s="2"/>
      <c r="AHM14" s="2"/>
      <c r="AHN14" s="2"/>
      <c r="AHO14" s="2"/>
      <c r="AHP14" s="2"/>
      <c r="AHQ14" s="2"/>
      <c r="AHR14" s="2"/>
      <c r="AHS14" s="2"/>
      <c r="AHT14" s="2"/>
      <c r="AHU14" s="2"/>
      <c r="AHV14" s="2"/>
      <c r="AHW14" s="2"/>
      <c r="AHX14" s="2"/>
      <c r="AHY14" s="2"/>
      <c r="AHZ14" s="2"/>
      <c r="AIA14" s="2"/>
      <c r="AIB14" s="2"/>
      <c r="AIC14" s="2"/>
      <c r="AID14" s="2"/>
      <c r="AIE14" s="2"/>
      <c r="AIF14" s="2"/>
      <c r="AIG14" s="2"/>
      <c r="AIH14" s="2"/>
      <c r="AII14" s="2"/>
      <c r="AIJ14" s="2"/>
      <c r="AIK14" s="2"/>
      <c r="AIL14" s="2"/>
      <c r="AIM14" s="2"/>
      <c r="AIN14" s="2"/>
      <c r="AIO14" s="2"/>
      <c r="AIP14" s="2"/>
      <c r="AIQ14" s="2"/>
      <c r="AIR14" s="2"/>
      <c r="AIS14" s="2"/>
      <c r="AIT14" s="2"/>
      <c r="AIU14" s="2"/>
      <c r="AIV14" s="2"/>
      <c r="AIW14" s="2"/>
      <c r="AIX14" s="2"/>
      <c r="AIY14" s="2"/>
      <c r="AIZ14" s="2"/>
      <c r="AJA14" s="2"/>
      <c r="AJB14" s="2"/>
      <c r="AJC14" s="2"/>
      <c r="AJD14" s="2"/>
      <c r="AJE14" s="2"/>
      <c r="AJF14" s="2"/>
      <c r="AJG14" s="2"/>
      <c r="AJH14" s="2"/>
      <c r="AJI14" s="2"/>
      <c r="AJJ14" s="2"/>
      <c r="AJK14" s="2"/>
      <c r="AJL14" s="2"/>
      <c r="AJM14" s="2"/>
      <c r="AJN14" s="2"/>
      <c r="AJO14" s="2"/>
      <c r="AJP14" s="2"/>
      <c r="AJQ14" s="2"/>
      <c r="AJR14" s="2"/>
      <c r="AJS14" s="2"/>
      <c r="AJT14" s="2"/>
      <c r="AJU14" s="2"/>
      <c r="AJV14" s="2"/>
      <c r="AJW14" s="2"/>
      <c r="AJX14" s="2"/>
      <c r="AJY14" s="2"/>
      <c r="AJZ14" s="2"/>
      <c r="AKA14" s="2"/>
      <c r="AKB14" s="2"/>
      <c r="AKC14" s="2"/>
      <c r="AKD14" s="2"/>
      <c r="AKE14" s="2"/>
      <c r="AKF14" s="2"/>
      <c r="AKG14" s="2"/>
      <c r="AKH14" s="2"/>
      <c r="AKI14" s="2"/>
      <c r="AKJ14" s="2"/>
      <c r="AKK14" s="2"/>
      <c r="AKL14" s="2"/>
      <c r="AKM14" s="2"/>
      <c r="AKN14" s="2"/>
      <c r="AKO14" s="2"/>
      <c r="AKP14" s="2"/>
      <c r="AKQ14" s="2"/>
      <c r="AKR14" s="2"/>
      <c r="AKS14" s="2"/>
      <c r="AKT14" s="2"/>
      <c r="AKU14" s="2"/>
      <c r="AKV14" s="2"/>
      <c r="AKW14" s="2"/>
      <c r="AKX14" s="2"/>
      <c r="AKY14" s="2"/>
      <c r="AKZ14" s="2"/>
      <c r="ALA14" s="2"/>
      <c r="ALB14" s="2"/>
      <c r="ALC14" s="2"/>
      <c r="ALD14" s="2"/>
      <c r="ALE14" s="2"/>
      <c r="ALF14" s="2"/>
      <c r="ALG14" s="2"/>
      <c r="ALH14" s="2"/>
      <c r="ALI14" s="2"/>
      <c r="ALJ14" s="2"/>
      <c r="ALK14" s="2"/>
      <c r="ALL14" s="2"/>
      <c r="ALM14" s="2"/>
      <c r="ALN14" s="2"/>
      <c r="ALO14" s="2"/>
      <c r="ALP14" s="2"/>
      <c r="ALQ14" s="2"/>
      <c r="ALR14" s="2"/>
      <c r="ALS14" s="2"/>
      <c r="ALT14" s="2"/>
      <c r="ALU14" s="2"/>
      <c r="ALV14" s="2"/>
      <c r="ALW14" s="2"/>
      <c r="ALX14" s="2"/>
    </row>
    <row r="15" customFormat="false" ht="15" hidden="false" customHeight="true" outlineLevel="0" collapsed="false">
      <c r="A15" s="2"/>
      <c r="B15" s="64" t="s">
        <v>94</v>
      </c>
      <c r="C15" s="65" t="n">
        <f aca="false">VLOOKUP($B15,Unidades!$D$5:$N$24,6,FALSE())</f>
        <v>964.83</v>
      </c>
      <c r="D15" s="65" t="n">
        <f aca="false">VLOOKUP($B15,Unidades!$D$5:$N$24,7,FALSE())</f>
        <v>546.27</v>
      </c>
      <c r="E15" s="65" t="n">
        <f aca="false">VLOOKUP($B15,Unidades!$D$5:$N$24,8,FALSE())</f>
        <v>223.33</v>
      </c>
      <c r="F15" s="65" t="n">
        <f aca="false">VLOOKUP($B15,Unidades!$D$5:$N$24,9,FALSE())</f>
        <v>195.23</v>
      </c>
      <c r="G15" s="65" t="n">
        <f aca="false">D15+E15*$E$6+F15*$F$6</f>
        <v>643.9585</v>
      </c>
      <c r="H15" s="66" t="n">
        <f aca="false">IF(G15&lt;750,1.5,IF(G15&lt;2000,2,3))</f>
        <v>1.5</v>
      </c>
      <c r="I15" s="66" t="n">
        <f aca="false">$I$6*H15</f>
        <v>1.8</v>
      </c>
      <c r="J15" s="66" t="str">
        <f aca="false">VLOOKUP($B15,Unidades!$D$5:$N$24,10,FALSE())</f>
        <v>NÃO</v>
      </c>
      <c r="K15" s="66" t="str">
        <f aca="false">VLOOKUP($B15,Unidades!$D$5:$N$24,11,FALSE())</f>
        <v>NÃO</v>
      </c>
      <c r="L15" s="66" t="n">
        <f aca="false">$L$6*H15+(IF(J15="SIM",$J$6,0))</f>
        <v>1.65</v>
      </c>
      <c r="M15" s="66" t="n">
        <f aca="false">$M$6*H15+(IF(J15="SIM",$J$6,0))+(IF(K15="SIM",$K$6,0))</f>
        <v>1.65</v>
      </c>
      <c r="N15" s="66" t="n">
        <f aca="false">H15*12+I15*4+L15*2+M15</f>
        <v>30.15</v>
      </c>
      <c r="O15" s="67" t="n">
        <f aca="false">IF(K15="não", N15*(C$21+D$21),N15*(C$21+D$21)+(M15*+E$21))</f>
        <v>1703.475</v>
      </c>
      <c r="P15" s="68"/>
      <c r="Q15" s="22" t="str">
        <f aca="false">B15</f>
        <v>APS TIMBÓ</v>
      </c>
      <c r="R15" s="24" t="n">
        <f aca="false">H15*($C$21+$D$21)</f>
        <v>84.75</v>
      </c>
      <c r="S15" s="24" t="n">
        <f aca="false">I15*($C$21+$D$21)</f>
        <v>101.7</v>
      </c>
      <c r="T15" s="24" t="n">
        <f aca="false">L15*($C$21+$D$21)</f>
        <v>93.225</v>
      </c>
      <c r="U15" s="24" t="n">
        <f aca="false">IF(K15="não",M15*($C$21+$D$21),M15*(C$21+D$21+E$21))</f>
        <v>93.225</v>
      </c>
      <c r="V15" s="24" t="n">
        <f aca="false">VLOOKUP(Q15,'Desl. Base Blumenau'!$C$5:$S$15,13,FALSE())*($C$21+$D$21+$E$21*(VLOOKUP(Q15,'Desl. Base Blumenau'!$C$5:$S$15,17,FALSE())/12))</f>
        <v>40.0208333333333</v>
      </c>
      <c r="W15" s="24" t="n">
        <f aca="false">VLOOKUP(Q15,'Desl. Base Blumenau'!$C$5:$S$15,15,FALSE())*(2+(VLOOKUP(Q15,'Desl. Base Blumenau'!$C$5:$S$15,17,FALSE())/12))</f>
        <v>0</v>
      </c>
      <c r="X15" s="24" t="n">
        <f aca="false">VLOOKUP(Q15,'Desl. Base Blumenau'!$C$5:$Q$15,14,FALSE())</f>
        <v>0</v>
      </c>
      <c r="Y15" s="24" t="n">
        <f aca="false">VLOOKUP(Q15,'Desl. Base Blumenau'!$C$5:$Q$15,13,FALSE())*'Desl. Base Blumenau'!$E$20+'Desl. Base Blumenau'!$E$21*N15/12</f>
        <v>54.309375</v>
      </c>
      <c r="Z15" s="24" t="n">
        <f aca="false">(H15/$AC$5)*'Equipe Técnica'!$C$13</f>
        <v>344.021646143876</v>
      </c>
      <c r="AA15" s="24" t="n">
        <f aca="false">(I15/$AC$5)*'Equipe Técnica'!$C$13</f>
        <v>412.825975372651</v>
      </c>
      <c r="AB15" s="24" t="n">
        <f aca="false">(L15/$AC$5)*'Equipe Técnica'!$C$13</f>
        <v>378.423810758263</v>
      </c>
      <c r="AC15" s="24" t="n">
        <f aca="false">(M15/$AC$5)*'Equipe Técnica'!$C$13</f>
        <v>378.423810758263</v>
      </c>
      <c r="AD15" s="24" t="n">
        <f aca="false">R15+(($V15+$W15+$X15+$Y15)*12/19)+$Z15</f>
        <v>488.348619828086</v>
      </c>
      <c r="AE15" s="24" t="n">
        <f aca="false">S15+(($V15+$W15+$X15+$Y15)*12/19)+$AA15</f>
        <v>574.102949056861</v>
      </c>
      <c r="AF15" s="24" t="n">
        <f aca="false">T15+(($V15+$W15+$X15+$Y15)*12/19)+$AB15</f>
        <v>531.225784442474</v>
      </c>
      <c r="AG15" s="24" t="n">
        <f aca="false">U15+(($V15+$W15+$X15+$Y15)*12/19)+$AC15</f>
        <v>531.225784442474</v>
      </c>
      <c r="AH15" s="2"/>
      <c r="AI15" s="22" t="str">
        <f aca="false">B15</f>
        <v>APS TIMBÓ</v>
      </c>
      <c r="AJ15" s="69" t="n">
        <f aca="false">VLOOKUP(AI15,Unidades!D$5:H$24,5,)</f>
        <v>0.242</v>
      </c>
      <c r="AK15" s="48" t="n">
        <f aca="false">AD15*(1+$AJ15)</f>
        <v>606.528985826483</v>
      </c>
      <c r="AL15" s="48" t="n">
        <f aca="false">AE15*(1+$AJ15)</f>
        <v>713.035862728622</v>
      </c>
      <c r="AM15" s="48" t="n">
        <f aca="false">AF15*(1+$AJ15)</f>
        <v>659.782424277552</v>
      </c>
      <c r="AN15" s="48" t="n">
        <f aca="false">AG15*(1+$AJ15)</f>
        <v>659.782424277552</v>
      </c>
      <c r="AO15" s="48" t="n">
        <f aca="false">((AK15*12)+(AL15*4)+(AM15*2)+AN15)/12</f>
        <v>1009.15321280541</v>
      </c>
      <c r="AP15" s="48" t="n">
        <f aca="false">AO15*3</f>
        <v>3027.45963841623</v>
      </c>
      <c r="AQ15" s="48" t="n">
        <f aca="false">AO15+AP15</f>
        <v>4036.61285122165</v>
      </c>
      <c r="AR15" s="70"/>
      <c r="AS15" s="73" t="s">
        <v>95</v>
      </c>
      <c r="AT15" s="48" t="n">
        <f aca="false">AT11+AT13</f>
        <v>659198.559357878</v>
      </c>
      <c r="AU15" s="48"/>
      <c r="AV15" s="70"/>
      <c r="AW15" s="70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2"/>
      <c r="JM15" s="2"/>
      <c r="JN15" s="2"/>
      <c r="JO15" s="2"/>
      <c r="JP15" s="2"/>
      <c r="JQ15" s="2"/>
      <c r="JR15" s="2"/>
      <c r="JS15" s="2"/>
      <c r="JT15" s="2"/>
      <c r="JU15" s="2"/>
      <c r="JV15" s="2"/>
      <c r="JW15" s="2"/>
      <c r="JX15" s="2"/>
      <c r="JY15" s="2"/>
      <c r="JZ15" s="2"/>
      <c r="KA15" s="2"/>
      <c r="KB15" s="2"/>
      <c r="KC15" s="2"/>
      <c r="KD15" s="2"/>
      <c r="KE15" s="2"/>
      <c r="KF15" s="2"/>
      <c r="KG15" s="2"/>
      <c r="KH15" s="2"/>
      <c r="KI15" s="2"/>
      <c r="KJ15" s="2"/>
      <c r="KK15" s="2"/>
      <c r="KL15" s="2"/>
      <c r="KM15" s="2"/>
      <c r="KN15" s="2"/>
      <c r="KO15" s="2"/>
      <c r="KP15" s="2"/>
      <c r="KQ15" s="2"/>
      <c r="KR15" s="2"/>
      <c r="KS15" s="2"/>
      <c r="KT15" s="2"/>
      <c r="KU15" s="2"/>
      <c r="KV15" s="2"/>
      <c r="KW15" s="2"/>
      <c r="KX15" s="2"/>
      <c r="KY15" s="2"/>
      <c r="KZ15" s="2"/>
      <c r="LA15" s="2"/>
      <c r="LB15" s="2"/>
      <c r="LC15" s="2"/>
      <c r="LD15" s="2"/>
      <c r="LE15" s="2"/>
      <c r="LF15" s="2"/>
      <c r="LG15" s="2"/>
      <c r="LH15" s="2"/>
      <c r="LI15" s="2"/>
      <c r="LJ15" s="2"/>
      <c r="LK15" s="2"/>
      <c r="LL15" s="2"/>
      <c r="LM15" s="2"/>
      <c r="LN15" s="2"/>
      <c r="LO15" s="2"/>
      <c r="LP15" s="2"/>
      <c r="LQ15" s="2"/>
      <c r="LR15" s="2"/>
      <c r="LS15" s="2"/>
      <c r="LT15" s="2"/>
      <c r="LU15" s="2"/>
      <c r="LV15" s="2"/>
      <c r="LW15" s="2"/>
      <c r="LX15" s="2"/>
      <c r="LY15" s="2"/>
      <c r="LZ15" s="2"/>
      <c r="MA15" s="2"/>
      <c r="MB15" s="2"/>
      <c r="MC15" s="2"/>
      <c r="MD15" s="2"/>
      <c r="ME15" s="2"/>
      <c r="MF15" s="2"/>
      <c r="MG15" s="2"/>
      <c r="MH15" s="2"/>
      <c r="MI15" s="2"/>
      <c r="MJ15" s="2"/>
      <c r="MK15" s="2"/>
      <c r="ML15" s="2"/>
      <c r="MM15" s="2"/>
      <c r="MN15" s="2"/>
      <c r="MO15" s="2"/>
      <c r="MP15" s="2"/>
      <c r="MQ15" s="2"/>
      <c r="MR15" s="2"/>
      <c r="MS15" s="2"/>
      <c r="MT15" s="2"/>
      <c r="MU15" s="2"/>
      <c r="MV15" s="2"/>
      <c r="MW15" s="2"/>
      <c r="MX15" s="2"/>
      <c r="MY15" s="2"/>
      <c r="MZ15" s="2"/>
      <c r="NA15" s="2"/>
      <c r="NB15" s="2"/>
      <c r="NC15" s="2"/>
      <c r="ND15" s="2"/>
      <c r="NE15" s="2"/>
      <c r="NF15" s="2"/>
      <c r="NG15" s="2"/>
      <c r="NH15" s="2"/>
      <c r="NI15" s="2"/>
      <c r="NJ15" s="2"/>
      <c r="NK15" s="2"/>
      <c r="NL15" s="2"/>
      <c r="NM15" s="2"/>
      <c r="NN15" s="2"/>
      <c r="NO15" s="2"/>
      <c r="NP15" s="2"/>
      <c r="NQ15" s="2"/>
      <c r="NR15" s="2"/>
      <c r="NS15" s="2"/>
      <c r="NT15" s="2"/>
      <c r="NU15" s="2"/>
      <c r="NV15" s="2"/>
      <c r="NW15" s="2"/>
      <c r="NX15" s="2"/>
      <c r="NY15" s="2"/>
      <c r="NZ15" s="2"/>
      <c r="OA15" s="2"/>
      <c r="OB15" s="2"/>
      <c r="OC15" s="2"/>
      <c r="OD15" s="2"/>
      <c r="OE15" s="2"/>
      <c r="OF15" s="2"/>
      <c r="OG15" s="2"/>
      <c r="OH15" s="2"/>
      <c r="OI15" s="2"/>
      <c r="OJ15" s="2"/>
      <c r="OK15" s="2"/>
      <c r="OL15" s="2"/>
      <c r="OM15" s="2"/>
      <c r="ON15" s="2"/>
      <c r="OO15" s="2"/>
      <c r="OP15" s="2"/>
      <c r="OQ15" s="2"/>
      <c r="OR15" s="2"/>
      <c r="OS15" s="2"/>
      <c r="OT15" s="2"/>
      <c r="OU15" s="2"/>
      <c r="OV15" s="2"/>
      <c r="OW15" s="2"/>
      <c r="OX15" s="2"/>
      <c r="OY15" s="2"/>
      <c r="OZ15" s="2"/>
      <c r="PA15" s="2"/>
      <c r="PB15" s="2"/>
      <c r="PC15" s="2"/>
      <c r="PD15" s="2"/>
      <c r="PE15" s="2"/>
      <c r="PF15" s="2"/>
      <c r="PG15" s="2"/>
      <c r="PH15" s="2"/>
      <c r="PI15" s="2"/>
      <c r="PJ15" s="2"/>
      <c r="PK15" s="2"/>
      <c r="PL15" s="2"/>
      <c r="PM15" s="2"/>
      <c r="PN15" s="2"/>
      <c r="PO15" s="2"/>
      <c r="PP15" s="2"/>
      <c r="PQ15" s="2"/>
      <c r="PR15" s="2"/>
      <c r="PS15" s="2"/>
      <c r="PT15" s="2"/>
      <c r="PU15" s="2"/>
      <c r="PV15" s="2"/>
      <c r="PW15" s="2"/>
      <c r="PX15" s="2"/>
      <c r="PY15" s="2"/>
      <c r="PZ15" s="2"/>
      <c r="QA15" s="2"/>
      <c r="QB15" s="2"/>
      <c r="QC15" s="2"/>
      <c r="QD15" s="2"/>
      <c r="QE15" s="2"/>
      <c r="QF15" s="2"/>
      <c r="QG15" s="2"/>
      <c r="QH15" s="2"/>
      <c r="QI15" s="2"/>
      <c r="QJ15" s="2"/>
      <c r="QK15" s="2"/>
      <c r="QL15" s="2"/>
      <c r="QM15" s="2"/>
      <c r="QN15" s="2"/>
      <c r="QO15" s="2"/>
      <c r="QP15" s="2"/>
      <c r="QQ15" s="2"/>
      <c r="QR15" s="2"/>
      <c r="QS15" s="2"/>
      <c r="QT15" s="2"/>
      <c r="QU15" s="2"/>
      <c r="QV15" s="2"/>
      <c r="QW15" s="2"/>
      <c r="QX15" s="2"/>
      <c r="QY15" s="2"/>
      <c r="QZ15" s="2"/>
      <c r="RA15" s="2"/>
      <c r="RB15" s="2"/>
      <c r="RC15" s="2"/>
      <c r="RD15" s="2"/>
      <c r="RE15" s="2"/>
      <c r="RF15" s="2"/>
      <c r="RG15" s="2"/>
      <c r="RH15" s="2"/>
      <c r="RI15" s="2"/>
      <c r="RJ15" s="2"/>
      <c r="RK15" s="2"/>
      <c r="RL15" s="2"/>
      <c r="RM15" s="2"/>
      <c r="RN15" s="2"/>
      <c r="RO15" s="2"/>
      <c r="RP15" s="2"/>
      <c r="RQ15" s="2"/>
      <c r="RR15" s="2"/>
      <c r="RS15" s="2"/>
      <c r="RT15" s="2"/>
      <c r="RU15" s="2"/>
      <c r="RV15" s="2"/>
      <c r="RW15" s="2"/>
      <c r="RX15" s="2"/>
      <c r="RY15" s="2"/>
      <c r="RZ15" s="2"/>
      <c r="SA15" s="2"/>
      <c r="SB15" s="2"/>
      <c r="SC15" s="2"/>
      <c r="SD15" s="2"/>
      <c r="SE15" s="2"/>
      <c r="SF15" s="2"/>
      <c r="SG15" s="2"/>
      <c r="SH15" s="2"/>
      <c r="SI15" s="2"/>
      <c r="SJ15" s="2"/>
      <c r="SK15" s="2"/>
      <c r="SL15" s="2"/>
      <c r="SM15" s="2"/>
      <c r="SN15" s="2"/>
      <c r="SO15" s="2"/>
      <c r="SP15" s="2"/>
      <c r="SQ15" s="2"/>
      <c r="SR15" s="2"/>
      <c r="SS15" s="2"/>
      <c r="ST15" s="2"/>
      <c r="SU15" s="2"/>
      <c r="SV15" s="2"/>
      <c r="SW15" s="2"/>
      <c r="SX15" s="2"/>
      <c r="SY15" s="2"/>
      <c r="SZ15" s="2"/>
      <c r="TA15" s="2"/>
      <c r="TB15" s="2"/>
      <c r="TC15" s="2"/>
      <c r="TD15" s="2"/>
      <c r="TE15" s="2"/>
      <c r="TF15" s="2"/>
      <c r="TG15" s="2"/>
      <c r="TH15" s="2"/>
      <c r="TI15" s="2"/>
      <c r="TJ15" s="2"/>
      <c r="TK15" s="2"/>
      <c r="TL15" s="2"/>
      <c r="TM15" s="2"/>
      <c r="TN15" s="2"/>
      <c r="TO15" s="2"/>
      <c r="TP15" s="2"/>
      <c r="TQ15" s="2"/>
      <c r="TR15" s="2"/>
      <c r="TS15" s="2"/>
      <c r="TT15" s="2"/>
      <c r="TU15" s="2"/>
      <c r="TV15" s="2"/>
      <c r="TW15" s="2"/>
      <c r="TX15" s="2"/>
      <c r="TY15" s="2"/>
      <c r="TZ15" s="2"/>
      <c r="UA15" s="2"/>
      <c r="UB15" s="2"/>
      <c r="UC15" s="2"/>
      <c r="UD15" s="2"/>
      <c r="UE15" s="2"/>
      <c r="UF15" s="2"/>
      <c r="UG15" s="2"/>
      <c r="UH15" s="2"/>
      <c r="UI15" s="2"/>
      <c r="UJ15" s="2"/>
      <c r="UK15" s="2"/>
      <c r="UL15" s="2"/>
      <c r="UM15" s="2"/>
      <c r="UN15" s="2"/>
      <c r="UO15" s="2"/>
      <c r="UP15" s="2"/>
      <c r="UQ15" s="2"/>
      <c r="UR15" s="2"/>
      <c r="US15" s="2"/>
      <c r="UT15" s="2"/>
      <c r="UU15" s="2"/>
      <c r="UV15" s="2"/>
      <c r="UW15" s="2"/>
      <c r="UX15" s="2"/>
      <c r="UY15" s="2"/>
      <c r="UZ15" s="2"/>
      <c r="VA15" s="2"/>
      <c r="VB15" s="2"/>
      <c r="VC15" s="2"/>
      <c r="VD15" s="2"/>
      <c r="VE15" s="2"/>
      <c r="VF15" s="2"/>
      <c r="VG15" s="2"/>
      <c r="VH15" s="2"/>
      <c r="VI15" s="2"/>
      <c r="VJ15" s="2"/>
      <c r="VK15" s="2"/>
      <c r="VL15" s="2"/>
      <c r="VM15" s="2"/>
      <c r="VN15" s="2"/>
      <c r="VO15" s="2"/>
      <c r="VP15" s="2"/>
      <c r="VQ15" s="2"/>
      <c r="VR15" s="2"/>
      <c r="VS15" s="2"/>
      <c r="VT15" s="2"/>
      <c r="VU15" s="2"/>
      <c r="VV15" s="2"/>
      <c r="VW15" s="2"/>
      <c r="VX15" s="2"/>
      <c r="VY15" s="2"/>
      <c r="VZ15" s="2"/>
      <c r="WA15" s="2"/>
      <c r="WB15" s="2"/>
      <c r="WC15" s="2"/>
      <c r="WD15" s="2"/>
      <c r="WE15" s="2"/>
      <c r="WF15" s="2"/>
      <c r="WG15" s="2"/>
      <c r="WH15" s="2"/>
      <c r="WI15" s="2"/>
      <c r="WJ15" s="2"/>
      <c r="WK15" s="2"/>
      <c r="WL15" s="2"/>
      <c r="WM15" s="2"/>
      <c r="WN15" s="2"/>
      <c r="WO15" s="2"/>
      <c r="WP15" s="2"/>
      <c r="WQ15" s="2"/>
      <c r="WR15" s="2"/>
      <c r="WS15" s="2"/>
      <c r="WT15" s="2"/>
      <c r="WU15" s="2"/>
      <c r="WV15" s="2"/>
      <c r="WW15" s="2"/>
      <c r="WX15" s="2"/>
      <c r="WY15" s="2"/>
      <c r="WZ15" s="2"/>
      <c r="XA15" s="2"/>
      <c r="XB15" s="2"/>
      <c r="XC15" s="2"/>
      <c r="XD15" s="2"/>
      <c r="XE15" s="2"/>
      <c r="XF15" s="2"/>
      <c r="XG15" s="2"/>
      <c r="XH15" s="2"/>
      <c r="XI15" s="2"/>
      <c r="XJ15" s="2"/>
      <c r="XK15" s="2"/>
      <c r="XL15" s="2"/>
      <c r="XM15" s="2"/>
      <c r="XN15" s="2"/>
      <c r="XO15" s="2"/>
      <c r="XP15" s="2"/>
      <c r="XQ15" s="2"/>
      <c r="XR15" s="2"/>
      <c r="XS15" s="2"/>
      <c r="XT15" s="2"/>
      <c r="XU15" s="2"/>
      <c r="XV15" s="2"/>
      <c r="XW15" s="2"/>
      <c r="XX15" s="2"/>
      <c r="XY15" s="2"/>
      <c r="XZ15" s="2"/>
      <c r="YA15" s="2"/>
      <c r="YB15" s="2"/>
      <c r="YC15" s="2"/>
      <c r="YD15" s="2"/>
      <c r="YE15" s="2"/>
      <c r="YF15" s="2"/>
      <c r="YG15" s="2"/>
      <c r="YH15" s="2"/>
      <c r="YI15" s="2"/>
      <c r="YJ15" s="2"/>
      <c r="YK15" s="2"/>
      <c r="YL15" s="2"/>
      <c r="YM15" s="2"/>
      <c r="YN15" s="2"/>
      <c r="YO15" s="2"/>
      <c r="YP15" s="2"/>
      <c r="YQ15" s="2"/>
      <c r="YR15" s="2"/>
      <c r="YS15" s="2"/>
      <c r="YT15" s="2"/>
      <c r="YU15" s="2"/>
      <c r="YV15" s="2"/>
      <c r="YW15" s="2"/>
      <c r="YX15" s="2"/>
      <c r="YY15" s="2"/>
      <c r="YZ15" s="2"/>
      <c r="ZA15" s="2"/>
      <c r="ZB15" s="2"/>
      <c r="ZC15" s="2"/>
      <c r="ZD15" s="2"/>
      <c r="ZE15" s="2"/>
      <c r="ZF15" s="2"/>
      <c r="ZG15" s="2"/>
      <c r="ZH15" s="2"/>
      <c r="ZI15" s="2"/>
      <c r="ZJ15" s="2"/>
      <c r="ZK15" s="2"/>
      <c r="ZL15" s="2"/>
      <c r="ZM15" s="2"/>
      <c r="ZN15" s="2"/>
      <c r="ZO15" s="2"/>
      <c r="ZP15" s="2"/>
      <c r="ZQ15" s="2"/>
      <c r="ZR15" s="2"/>
      <c r="ZS15" s="2"/>
      <c r="ZT15" s="2"/>
      <c r="ZU15" s="2"/>
      <c r="ZV15" s="2"/>
      <c r="ZW15" s="2"/>
      <c r="ZX15" s="2"/>
      <c r="ZY15" s="2"/>
      <c r="ZZ15" s="2"/>
      <c r="AAA15" s="2"/>
      <c r="AAB15" s="2"/>
      <c r="AAC15" s="2"/>
      <c r="AAD15" s="2"/>
      <c r="AAE15" s="2"/>
      <c r="AAF15" s="2"/>
      <c r="AAG15" s="2"/>
      <c r="AAH15" s="2"/>
      <c r="AAI15" s="2"/>
      <c r="AAJ15" s="2"/>
      <c r="AAK15" s="2"/>
      <c r="AAL15" s="2"/>
      <c r="AAM15" s="2"/>
      <c r="AAN15" s="2"/>
      <c r="AAO15" s="2"/>
      <c r="AAP15" s="2"/>
      <c r="AAQ15" s="2"/>
      <c r="AAR15" s="2"/>
      <c r="AAS15" s="2"/>
      <c r="AAT15" s="2"/>
      <c r="AAU15" s="2"/>
      <c r="AAV15" s="2"/>
      <c r="AAW15" s="2"/>
      <c r="AAX15" s="2"/>
      <c r="AAY15" s="2"/>
      <c r="AAZ15" s="2"/>
      <c r="ABA15" s="2"/>
      <c r="ABB15" s="2"/>
      <c r="ABC15" s="2"/>
      <c r="ABD15" s="2"/>
      <c r="ABE15" s="2"/>
      <c r="ABF15" s="2"/>
      <c r="ABG15" s="2"/>
      <c r="ABH15" s="2"/>
      <c r="ABI15" s="2"/>
      <c r="ABJ15" s="2"/>
      <c r="ABK15" s="2"/>
      <c r="ABL15" s="2"/>
      <c r="ABM15" s="2"/>
      <c r="ABN15" s="2"/>
      <c r="ABO15" s="2"/>
      <c r="ABP15" s="2"/>
      <c r="ABQ15" s="2"/>
      <c r="ABR15" s="2"/>
      <c r="ABS15" s="2"/>
      <c r="ABT15" s="2"/>
      <c r="ABU15" s="2"/>
      <c r="ABV15" s="2"/>
      <c r="ABW15" s="2"/>
      <c r="ABX15" s="2"/>
      <c r="ABY15" s="2"/>
      <c r="ABZ15" s="2"/>
      <c r="ACA15" s="2"/>
      <c r="ACB15" s="2"/>
      <c r="ACC15" s="2"/>
      <c r="ACD15" s="2"/>
      <c r="ACE15" s="2"/>
      <c r="ACF15" s="2"/>
      <c r="ACG15" s="2"/>
      <c r="ACH15" s="2"/>
      <c r="ACI15" s="2"/>
      <c r="ACJ15" s="2"/>
      <c r="ACK15" s="2"/>
      <c r="ACL15" s="2"/>
      <c r="ACM15" s="2"/>
      <c r="ACN15" s="2"/>
      <c r="ACO15" s="2"/>
      <c r="ACP15" s="2"/>
      <c r="ACQ15" s="2"/>
      <c r="ACR15" s="2"/>
      <c r="ACS15" s="2"/>
      <c r="ACT15" s="2"/>
      <c r="ACU15" s="2"/>
      <c r="ACV15" s="2"/>
      <c r="ACW15" s="2"/>
      <c r="ACX15" s="2"/>
      <c r="ACY15" s="2"/>
      <c r="ACZ15" s="2"/>
      <c r="ADA15" s="2"/>
      <c r="ADB15" s="2"/>
      <c r="ADC15" s="2"/>
      <c r="ADD15" s="2"/>
      <c r="ADE15" s="2"/>
      <c r="ADF15" s="2"/>
      <c r="ADG15" s="2"/>
      <c r="ADH15" s="2"/>
      <c r="ADI15" s="2"/>
      <c r="ADJ15" s="2"/>
      <c r="ADK15" s="2"/>
      <c r="ADL15" s="2"/>
      <c r="ADM15" s="2"/>
      <c r="ADN15" s="2"/>
      <c r="ADO15" s="2"/>
      <c r="ADP15" s="2"/>
      <c r="ADQ15" s="2"/>
      <c r="ADR15" s="2"/>
      <c r="ADS15" s="2"/>
      <c r="ADT15" s="2"/>
      <c r="ADU15" s="2"/>
      <c r="ADV15" s="2"/>
      <c r="ADW15" s="2"/>
      <c r="ADX15" s="2"/>
      <c r="ADY15" s="2"/>
      <c r="ADZ15" s="2"/>
      <c r="AEA15" s="2"/>
      <c r="AEB15" s="2"/>
      <c r="AEC15" s="2"/>
      <c r="AED15" s="2"/>
      <c r="AEE15" s="2"/>
      <c r="AEF15" s="2"/>
      <c r="AEG15" s="2"/>
      <c r="AEH15" s="2"/>
      <c r="AEI15" s="2"/>
      <c r="AEJ15" s="2"/>
      <c r="AEK15" s="2"/>
      <c r="AEL15" s="2"/>
      <c r="AEM15" s="2"/>
      <c r="AEN15" s="2"/>
      <c r="AEO15" s="2"/>
      <c r="AEP15" s="2"/>
      <c r="AEQ15" s="2"/>
      <c r="AER15" s="2"/>
      <c r="AES15" s="2"/>
      <c r="AET15" s="2"/>
      <c r="AEU15" s="2"/>
      <c r="AEV15" s="2"/>
      <c r="AEW15" s="2"/>
      <c r="AEX15" s="2"/>
      <c r="AEY15" s="2"/>
      <c r="AEZ15" s="2"/>
      <c r="AFA15" s="2"/>
      <c r="AFB15" s="2"/>
      <c r="AFC15" s="2"/>
      <c r="AFD15" s="2"/>
      <c r="AFE15" s="2"/>
      <c r="AFF15" s="2"/>
      <c r="AFG15" s="2"/>
      <c r="AFH15" s="2"/>
      <c r="AFI15" s="2"/>
      <c r="AFJ15" s="2"/>
      <c r="AFK15" s="2"/>
      <c r="AFL15" s="2"/>
      <c r="AFM15" s="2"/>
      <c r="AFN15" s="2"/>
      <c r="AFO15" s="2"/>
      <c r="AFP15" s="2"/>
      <c r="AFQ15" s="2"/>
      <c r="AFR15" s="2"/>
      <c r="AFS15" s="2"/>
      <c r="AFT15" s="2"/>
      <c r="AFU15" s="2"/>
      <c r="AFV15" s="2"/>
      <c r="AFW15" s="2"/>
      <c r="AFX15" s="2"/>
      <c r="AFY15" s="2"/>
      <c r="AFZ15" s="2"/>
      <c r="AGA15" s="2"/>
      <c r="AGB15" s="2"/>
      <c r="AGC15" s="2"/>
      <c r="AGD15" s="2"/>
      <c r="AGE15" s="2"/>
      <c r="AGF15" s="2"/>
      <c r="AGG15" s="2"/>
      <c r="AGH15" s="2"/>
      <c r="AGI15" s="2"/>
      <c r="AGJ15" s="2"/>
      <c r="AGK15" s="2"/>
      <c r="AGL15" s="2"/>
      <c r="AGM15" s="2"/>
      <c r="AGN15" s="2"/>
      <c r="AGO15" s="2"/>
      <c r="AGP15" s="2"/>
      <c r="AGQ15" s="2"/>
      <c r="AGR15" s="2"/>
      <c r="AGS15" s="2"/>
      <c r="AGT15" s="2"/>
      <c r="AGU15" s="2"/>
      <c r="AGV15" s="2"/>
      <c r="AGW15" s="2"/>
      <c r="AGX15" s="2"/>
      <c r="AGY15" s="2"/>
      <c r="AGZ15" s="2"/>
      <c r="AHA15" s="2"/>
      <c r="AHB15" s="2"/>
      <c r="AHC15" s="2"/>
      <c r="AHD15" s="2"/>
      <c r="AHE15" s="2"/>
      <c r="AHF15" s="2"/>
      <c r="AHG15" s="2"/>
      <c r="AHH15" s="2"/>
      <c r="AHI15" s="2"/>
      <c r="AHJ15" s="2"/>
      <c r="AHK15" s="2"/>
      <c r="AHL15" s="2"/>
      <c r="AHM15" s="2"/>
      <c r="AHN15" s="2"/>
      <c r="AHO15" s="2"/>
      <c r="AHP15" s="2"/>
      <c r="AHQ15" s="2"/>
      <c r="AHR15" s="2"/>
      <c r="AHS15" s="2"/>
      <c r="AHT15" s="2"/>
      <c r="AHU15" s="2"/>
      <c r="AHV15" s="2"/>
      <c r="AHW15" s="2"/>
      <c r="AHX15" s="2"/>
      <c r="AHY15" s="2"/>
      <c r="AHZ15" s="2"/>
      <c r="AIA15" s="2"/>
      <c r="AIB15" s="2"/>
      <c r="AIC15" s="2"/>
      <c r="AID15" s="2"/>
      <c r="AIE15" s="2"/>
      <c r="AIF15" s="2"/>
      <c r="AIG15" s="2"/>
      <c r="AIH15" s="2"/>
      <c r="AII15" s="2"/>
      <c r="AIJ15" s="2"/>
      <c r="AIK15" s="2"/>
      <c r="AIL15" s="2"/>
      <c r="AIM15" s="2"/>
      <c r="AIN15" s="2"/>
      <c r="AIO15" s="2"/>
      <c r="AIP15" s="2"/>
      <c r="AIQ15" s="2"/>
      <c r="AIR15" s="2"/>
      <c r="AIS15" s="2"/>
      <c r="AIT15" s="2"/>
      <c r="AIU15" s="2"/>
      <c r="AIV15" s="2"/>
      <c r="AIW15" s="2"/>
      <c r="AIX15" s="2"/>
      <c r="AIY15" s="2"/>
      <c r="AIZ15" s="2"/>
      <c r="AJA15" s="2"/>
      <c r="AJB15" s="2"/>
      <c r="AJC15" s="2"/>
      <c r="AJD15" s="2"/>
      <c r="AJE15" s="2"/>
      <c r="AJF15" s="2"/>
      <c r="AJG15" s="2"/>
      <c r="AJH15" s="2"/>
      <c r="AJI15" s="2"/>
      <c r="AJJ15" s="2"/>
      <c r="AJK15" s="2"/>
      <c r="AJL15" s="2"/>
      <c r="AJM15" s="2"/>
      <c r="AJN15" s="2"/>
      <c r="AJO15" s="2"/>
      <c r="AJP15" s="2"/>
      <c r="AJQ15" s="2"/>
      <c r="AJR15" s="2"/>
      <c r="AJS15" s="2"/>
      <c r="AJT15" s="2"/>
      <c r="AJU15" s="2"/>
      <c r="AJV15" s="2"/>
      <c r="AJW15" s="2"/>
      <c r="AJX15" s="2"/>
      <c r="AJY15" s="2"/>
      <c r="AJZ15" s="2"/>
      <c r="AKA15" s="2"/>
      <c r="AKB15" s="2"/>
      <c r="AKC15" s="2"/>
      <c r="AKD15" s="2"/>
      <c r="AKE15" s="2"/>
      <c r="AKF15" s="2"/>
      <c r="AKG15" s="2"/>
      <c r="AKH15" s="2"/>
      <c r="AKI15" s="2"/>
      <c r="AKJ15" s="2"/>
      <c r="AKK15" s="2"/>
      <c r="AKL15" s="2"/>
      <c r="AKM15" s="2"/>
      <c r="AKN15" s="2"/>
      <c r="AKO15" s="2"/>
      <c r="AKP15" s="2"/>
      <c r="AKQ15" s="2"/>
      <c r="AKR15" s="2"/>
      <c r="AKS15" s="2"/>
      <c r="AKT15" s="2"/>
      <c r="AKU15" s="2"/>
      <c r="AKV15" s="2"/>
      <c r="AKW15" s="2"/>
      <c r="AKX15" s="2"/>
      <c r="AKY15" s="2"/>
      <c r="AKZ15" s="2"/>
      <c r="ALA15" s="2"/>
      <c r="ALB15" s="2"/>
      <c r="ALC15" s="2"/>
      <c r="ALD15" s="2"/>
      <c r="ALE15" s="2"/>
      <c r="ALF15" s="2"/>
      <c r="ALG15" s="2"/>
      <c r="ALH15" s="2"/>
      <c r="ALI15" s="2"/>
      <c r="ALJ15" s="2"/>
      <c r="ALK15" s="2"/>
      <c r="ALL15" s="2"/>
      <c r="ALM15" s="2"/>
      <c r="ALN15" s="2"/>
      <c r="ALO15" s="2"/>
      <c r="ALP15" s="2"/>
      <c r="ALQ15" s="2"/>
      <c r="ALR15" s="2"/>
      <c r="ALS15" s="2"/>
      <c r="ALT15" s="2"/>
      <c r="ALU15" s="2"/>
      <c r="ALV15" s="2"/>
      <c r="ALW15" s="2"/>
      <c r="ALX15" s="2"/>
    </row>
    <row r="16" customFormat="false" ht="15" hidden="false" customHeight="true" outlineLevel="0" collapsed="false">
      <c r="A16" s="2"/>
      <c r="B16" s="64" t="s">
        <v>96</v>
      </c>
      <c r="C16" s="65" t="n">
        <f aca="false">VLOOKUP($B16,Unidades!$D$5:$N$24,6,FALSE())</f>
        <v>540</v>
      </c>
      <c r="D16" s="65" t="n">
        <f aca="false">VLOOKUP($B16,Unidades!$D$5:$N$24,7,FALSE())</f>
        <v>0</v>
      </c>
      <c r="E16" s="65" t="n">
        <f aca="false">VLOOKUP($B16,Unidades!$D$5:$N$24,8,FALSE())</f>
        <v>540</v>
      </c>
      <c r="F16" s="65" t="n">
        <f aca="false">VLOOKUP($B16,Unidades!$D$5:$N$24,9,FALSE())</f>
        <v>0</v>
      </c>
      <c r="G16" s="65" t="n">
        <f aca="false">D16+E16*$E$6+F16*$F$6</f>
        <v>189</v>
      </c>
      <c r="H16" s="66" t="n">
        <f aca="false">IF(G16&lt;750,1.5,IF(G16&lt;2000,2,3))</f>
        <v>1.5</v>
      </c>
      <c r="I16" s="66" t="n">
        <f aca="false">$I$6*H16</f>
        <v>1.8</v>
      </c>
      <c r="J16" s="66" t="str">
        <f aca="false">VLOOKUP($B16,Unidades!$D$5:$N$24,10,FALSE())</f>
        <v>NÃO</v>
      </c>
      <c r="K16" s="66" t="str">
        <f aca="false">VLOOKUP($B16,Unidades!$D$5:$N$24,11,FALSE())</f>
        <v>NÃO</v>
      </c>
      <c r="L16" s="66" t="n">
        <f aca="false">$L$6*H16+(IF(J16="SIM",$J$6,0))</f>
        <v>1.65</v>
      </c>
      <c r="M16" s="66" t="n">
        <f aca="false">$M$6*H16+(IF(J16="SIM",$J$6,0))+(IF(K16="SIM",$K$6,0))</f>
        <v>1.65</v>
      </c>
      <c r="N16" s="66" t="n">
        <f aca="false">H16*12+I16*4+L16*2+M16</f>
        <v>30.15</v>
      </c>
      <c r="O16" s="67" t="n">
        <f aca="false">IF(K16="não", N16*(C$21+D$21),N16*(C$21+D$21)+(M16*+E$21))</f>
        <v>1703.475</v>
      </c>
      <c r="P16" s="68"/>
      <c r="Q16" s="22" t="str">
        <f aca="false">B16</f>
        <v>CEDOCPREV BLUMENAU</v>
      </c>
      <c r="R16" s="24" t="n">
        <f aca="false">H16*($C$21+$D$21)</f>
        <v>84.75</v>
      </c>
      <c r="S16" s="24" t="n">
        <f aca="false">I16*($C$21+$D$21)</f>
        <v>101.7</v>
      </c>
      <c r="T16" s="24" t="n">
        <f aca="false">L16*($C$21+$D$21)</f>
        <v>93.225</v>
      </c>
      <c r="U16" s="24" t="n">
        <f aca="false">IF(K16="não",M16*($C$21+$D$21),M16*(C$21+D$21+E$21))</f>
        <v>93.225</v>
      </c>
      <c r="V16" s="24" t="n">
        <f aca="false">VLOOKUP(Q16,'Desl. Base Blumenau'!$C$5:$S$15,13,FALSE())*($C$21+$D$21+$E$21*(VLOOKUP(Q16,'Desl. Base Blumenau'!$C$5:$S$15,17,FALSE())/12))</f>
        <v>3.76666666666667</v>
      </c>
      <c r="W16" s="24" t="n">
        <f aca="false">VLOOKUP(Q16,'Desl. Base Blumenau'!$C$5:$S$15,15,FALSE())*(2+(VLOOKUP(Q16,'Desl. Base Blumenau'!$C$5:$S$15,17,FALSE())/12))</f>
        <v>0</v>
      </c>
      <c r="X16" s="24" t="n">
        <f aca="false">VLOOKUP(Q16,'Desl. Base Blumenau'!$C$5:$Q$15,14,FALSE())</f>
        <v>0</v>
      </c>
      <c r="Y16" s="24" t="n">
        <f aca="false">VLOOKUP(Q16,'Desl. Base Blumenau'!$C$5:$Q$15,13,FALSE())*'Desl. Base Blumenau'!$E$20+'Desl. Base Blumenau'!$E$21*N16/12</f>
        <v>20.929875</v>
      </c>
      <c r="Z16" s="24" t="n">
        <f aca="false">(H16/$AC$5)*'Equipe Técnica'!$C$13</f>
        <v>344.021646143876</v>
      </c>
      <c r="AA16" s="24" t="n">
        <f aca="false">(I16/$AC$5)*'Equipe Técnica'!$C$13</f>
        <v>412.825975372651</v>
      </c>
      <c r="AB16" s="24" t="n">
        <f aca="false">(L16/$AC$5)*'Equipe Técnica'!$C$13</f>
        <v>378.423810758263</v>
      </c>
      <c r="AC16" s="24" t="n">
        <f aca="false">(M16/$AC$5)*'Equipe Técnica'!$C$13</f>
        <v>378.423810758263</v>
      </c>
      <c r="AD16" s="24" t="n">
        <f aca="false">R16+(($V16+$W16+$X16+$Y16)*12/19)+$Z16</f>
        <v>444.369461933349</v>
      </c>
      <c r="AE16" s="24" t="n">
        <f aca="false">S16+(($V16+$W16+$X16+$Y16)*12/19)+$AA16</f>
        <v>530.123791162124</v>
      </c>
      <c r="AF16" s="24" t="n">
        <f aca="false">T16+(($V16+$W16+$X16+$Y16)*12/19)+$AB16</f>
        <v>487.246626547737</v>
      </c>
      <c r="AG16" s="24" t="n">
        <f aca="false">U16+(($V16+$W16+$X16+$Y16)*12/19)+$AC16</f>
        <v>487.246626547737</v>
      </c>
      <c r="AH16" s="2"/>
      <c r="AI16" s="22" t="str">
        <f aca="false">B16</f>
        <v>CEDOCPREV BLUMENAU</v>
      </c>
      <c r="AJ16" s="69" t="n">
        <f aca="false">VLOOKUP(AI16,Unidades!D$5:H$24,5,)</f>
        <v>0.2624</v>
      </c>
      <c r="AK16" s="48" t="n">
        <f aca="false">AD16*(1+$AJ16)</f>
        <v>560.97200874466</v>
      </c>
      <c r="AL16" s="48" t="n">
        <f aca="false">AE16*(1+$AJ16)</f>
        <v>669.228273963066</v>
      </c>
      <c r="AM16" s="48" t="n">
        <f aca="false">AF16*(1+$AJ16)</f>
        <v>615.100141353863</v>
      </c>
      <c r="AN16" s="48" t="n">
        <f aca="false">AG16*(1+$AJ16)</f>
        <v>615.100141353863</v>
      </c>
      <c r="AO16" s="48" t="n">
        <f aca="false">((AK16*12)+(AL16*4)+(AM16*2)+AN16)/12</f>
        <v>937.823135404148</v>
      </c>
      <c r="AP16" s="48" t="n">
        <f aca="false">AO16*3</f>
        <v>2813.46940621244</v>
      </c>
      <c r="AQ16" s="48" t="n">
        <f aca="false">AO16+AP16</f>
        <v>3751.29254161659</v>
      </c>
      <c r="AR16" s="70"/>
      <c r="AS16" s="70"/>
      <c r="AT16" s="70"/>
      <c r="AU16" s="70"/>
      <c r="AV16" s="70"/>
      <c r="AW16" s="70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2"/>
      <c r="NH16" s="2"/>
      <c r="NI16" s="2"/>
      <c r="NJ16" s="2"/>
      <c r="NK16" s="2"/>
      <c r="NL16" s="2"/>
      <c r="NM16" s="2"/>
      <c r="NN16" s="2"/>
      <c r="NO16" s="2"/>
      <c r="NP16" s="2"/>
      <c r="NQ16" s="2"/>
      <c r="NR16" s="2"/>
      <c r="NS16" s="2"/>
      <c r="NT16" s="2"/>
      <c r="NU16" s="2"/>
      <c r="NV16" s="2"/>
      <c r="NW16" s="2"/>
      <c r="NX16" s="2"/>
      <c r="NY16" s="2"/>
      <c r="NZ16" s="2"/>
      <c r="OA16" s="2"/>
      <c r="OB16" s="2"/>
      <c r="OC16" s="2"/>
      <c r="OD16" s="2"/>
      <c r="OE16" s="2"/>
      <c r="OF16" s="2"/>
      <c r="OG16" s="2"/>
      <c r="OH16" s="2"/>
      <c r="OI16" s="2"/>
      <c r="OJ16" s="2"/>
      <c r="OK16" s="2"/>
      <c r="OL16" s="2"/>
      <c r="OM16" s="2"/>
      <c r="ON16" s="2"/>
      <c r="OO16" s="2"/>
      <c r="OP16" s="2"/>
      <c r="OQ16" s="2"/>
      <c r="OR16" s="2"/>
      <c r="OS16" s="2"/>
      <c r="OT16" s="2"/>
      <c r="OU16" s="2"/>
      <c r="OV16" s="2"/>
      <c r="OW16" s="2"/>
      <c r="OX16" s="2"/>
      <c r="OY16" s="2"/>
      <c r="OZ16" s="2"/>
      <c r="PA16" s="2"/>
      <c r="PB16" s="2"/>
      <c r="PC16" s="2"/>
      <c r="PD16" s="2"/>
      <c r="PE16" s="2"/>
      <c r="PF16" s="2"/>
      <c r="PG16" s="2"/>
      <c r="PH16" s="2"/>
      <c r="PI16" s="2"/>
      <c r="PJ16" s="2"/>
      <c r="PK16" s="2"/>
      <c r="PL16" s="2"/>
      <c r="PM16" s="2"/>
      <c r="PN16" s="2"/>
      <c r="PO16" s="2"/>
      <c r="PP16" s="2"/>
      <c r="PQ16" s="2"/>
      <c r="PR16" s="2"/>
      <c r="PS16" s="2"/>
      <c r="PT16" s="2"/>
      <c r="PU16" s="2"/>
      <c r="PV16" s="2"/>
      <c r="PW16" s="2"/>
      <c r="PX16" s="2"/>
      <c r="PY16" s="2"/>
      <c r="PZ16" s="2"/>
      <c r="QA16" s="2"/>
      <c r="QB16" s="2"/>
      <c r="QC16" s="2"/>
      <c r="QD16" s="2"/>
      <c r="QE16" s="2"/>
      <c r="QF16" s="2"/>
      <c r="QG16" s="2"/>
      <c r="QH16" s="2"/>
      <c r="QI16" s="2"/>
      <c r="QJ16" s="2"/>
      <c r="QK16" s="2"/>
      <c r="QL16" s="2"/>
      <c r="QM16" s="2"/>
      <c r="QN16" s="2"/>
      <c r="QO16" s="2"/>
      <c r="QP16" s="2"/>
      <c r="QQ16" s="2"/>
      <c r="QR16" s="2"/>
      <c r="QS16" s="2"/>
      <c r="QT16" s="2"/>
      <c r="QU16" s="2"/>
      <c r="QV16" s="2"/>
      <c r="QW16" s="2"/>
      <c r="QX16" s="2"/>
      <c r="QY16" s="2"/>
      <c r="QZ16" s="2"/>
      <c r="RA16" s="2"/>
      <c r="RB16" s="2"/>
      <c r="RC16" s="2"/>
      <c r="RD16" s="2"/>
      <c r="RE16" s="2"/>
      <c r="RF16" s="2"/>
      <c r="RG16" s="2"/>
      <c r="RH16" s="2"/>
      <c r="RI16" s="2"/>
      <c r="RJ16" s="2"/>
      <c r="RK16" s="2"/>
      <c r="RL16" s="2"/>
      <c r="RM16" s="2"/>
      <c r="RN16" s="2"/>
      <c r="RO16" s="2"/>
      <c r="RP16" s="2"/>
      <c r="RQ16" s="2"/>
      <c r="RR16" s="2"/>
      <c r="RS16" s="2"/>
      <c r="RT16" s="2"/>
      <c r="RU16" s="2"/>
      <c r="RV16" s="2"/>
      <c r="RW16" s="2"/>
      <c r="RX16" s="2"/>
      <c r="RY16" s="2"/>
      <c r="RZ16" s="2"/>
      <c r="SA16" s="2"/>
      <c r="SB16" s="2"/>
      <c r="SC16" s="2"/>
      <c r="SD16" s="2"/>
      <c r="SE16" s="2"/>
      <c r="SF16" s="2"/>
      <c r="SG16" s="2"/>
      <c r="SH16" s="2"/>
      <c r="SI16" s="2"/>
      <c r="SJ16" s="2"/>
      <c r="SK16" s="2"/>
      <c r="SL16" s="2"/>
      <c r="SM16" s="2"/>
      <c r="SN16" s="2"/>
      <c r="SO16" s="2"/>
      <c r="SP16" s="2"/>
      <c r="SQ16" s="2"/>
      <c r="SR16" s="2"/>
      <c r="SS16" s="2"/>
      <c r="ST16" s="2"/>
      <c r="SU16" s="2"/>
      <c r="SV16" s="2"/>
      <c r="SW16" s="2"/>
      <c r="SX16" s="2"/>
      <c r="SY16" s="2"/>
      <c r="SZ16" s="2"/>
      <c r="TA16" s="2"/>
      <c r="TB16" s="2"/>
      <c r="TC16" s="2"/>
      <c r="TD16" s="2"/>
      <c r="TE16" s="2"/>
      <c r="TF16" s="2"/>
      <c r="TG16" s="2"/>
      <c r="TH16" s="2"/>
      <c r="TI16" s="2"/>
      <c r="TJ16" s="2"/>
      <c r="TK16" s="2"/>
      <c r="TL16" s="2"/>
      <c r="TM16" s="2"/>
      <c r="TN16" s="2"/>
      <c r="TO16" s="2"/>
      <c r="TP16" s="2"/>
      <c r="TQ16" s="2"/>
      <c r="TR16" s="2"/>
      <c r="TS16" s="2"/>
      <c r="TT16" s="2"/>
      <c r="TU16" s="2"/>
      <c r="TV16" s="2"/>
      <c r="TW16" s="2"/>
      <c r="TX16" s="2"/>
      <c r="TY16" s="2"/>
      <c r="TZ16" s="2"/>
      <c r="UA16" s="2"/>
      <c r="UB16" s="2"/>
      <c r="UC16" s="2"/>
      <c r="UD16" s="2"/>
      <c r="UE16" s="2"/>
      <c r="UF16" s="2"/>
      <c r="UG16" s="2"/>
      <c r="UH16" s="2"/>
      <c r="UI16" s="2"/>
      <c r="UJ16" s="2"/>
      <c r="UK16" s="2"/>
      <c r="UL16" s="2"/>
      <c r="UM16" s="2"/>
      <c r="UN16" s="2"/>
      <c r="UO16" s="2"/>
      <c r="UP16" s="2"/>
      <c r="UQ16" s="2"/>
      <c r="UR16" s="2"/>
      <c r="US16" s="2"/>
      <c r="UT16" s="2"/>
      <c r="UU16" s="2"/>
      <c r="UV16" s="2"/>
      <c r="UW16" s="2"/>
      <c r="UX16" s="2"/>
      <c r="UY16" s="2"/>
      <c r="UZ16" s="2"/>
      <c r="VA16" s="2"/>
      <c r="VB16" s="2"/>
      <c r="VC16" s="2"/>
      <c r="VD16" s="2"/>
      <c r="VE16" s="2"/>
      <c r="VF16" s="2"/>
      <c r="VG16" s="2"/>
      <c r="VH16" s="2"/>
      <c r="VI16" s="2"/>
      <c r="VJ16" s="2"/>
      <c r="VK16" s="2"/>
      <c r="VL16" s="2"/>
      <c r="VM16" s="2"/>
      <c r="VN16" s="2"/>
      <c r="VO16" s="2"/>
      <c r="VP16" s="2"/>
      <c r="VQ16" s="2"/>
      <c r="VR16" s="2"/>
      <c r="VS16" s="2"/>
      <c r="VT16" s="2"/>
      <c r="VU16" s="2"/>
      <c r="VV16" s="2"/>
      <c r="VW16" s="2"/>
      <c r="VX16" s="2"/>
      <c r="VY16" s="2"/>
      <c r="VZ16" s="2"/>
      <c r="WA16" s="2"/>
      <c r="WB16" s="2"/>
      <c r="WC16" s="2"/>
      <c r="WD16" s="2"/>
      <c r="WE16" s="2"/>
      <c r="WF16" s="2"/>
      <c r="WG16" s="2"/>
      <c r="WH16" s="2"/>
      <c r="WI16" s="2"/>
      <c r="WJ16" s="2"/>
      <c r="WK16" s="2"/>
      <c r="WL16" s="2"/>
      <c r="WM16" s="2"/>
      <c r="WN16" s="2"/>
      <c r="WO16" s="2"/>
      <c r="WP16" s="2"/>
      <c r="WQ16" s="2"/>
      <c r="WR16" s="2"/>
      <c r="WS16" s="2"/>
      <c r="WT16" s="2"/>
      <c r="WU16" s="2"/>
      <c r="WV16" s="2"/>
      <c r="WW16" s="2"/>
      <c r="WX16" s="2"/>
      <c r="WY16" s="2"/>
      <c r="WZ16" s="2"/>
      <c r="XA16" s="2"/>
      <c r="XB16" s="2"/>
      <c r="XC16" s="2"/>
      <c r="XD16" s="2"/>
      <c r="XE16" s="2"/>
      <c r="XF16" s="2"/>
      <c r="XG16" s="2"/>
      <c r="XH16" s="2"/>
      <c r="XI16" s="2"/>
      <c r="XJ16" s="2"/>
      <c r="XK16" s="2"/>
      <c r="XL16" s="2"/>
      <c r="XM16" s="2"/>
      <c r="XN16" s="2"/>
      <c r="XO16" s="2"/>
      <c r="XP16" s="2"/>
      <c r="XQ16" s="2"/>
      <c r="XR16" s="2"/>
      <c r="XS16" s="2"/>
      <c r="XT16" s="2"/>
      <c r="XU16" s="2"/>
      <c r="XV16" s="2"/>
      <c r="XW16" s="2"/>
      <c r="XX16" s="2"/>
      <c r="XY16" s="2"/>
      <c r="XZ16" s="2"/>
      <c r="YA16" s="2"/>
      <c r="YB16" s="2"/>
      <c r="YC16" s="2"/>
      <c r="YD16" s="2"/>
      <c r="YE16" s="2"/>
      <c r="YF16" s="2"/>
      <c r="YG16" s="2"/>
      <c r="YH16" s="2"/>
      <c r="YI16" s="2"/>
      <c r="YJ16" s="2"/>
      <c r="YK16" s="2"/>
      <c r="YL16" s="2"/>
      <c r="YM16" s="2"/>
      <c r="YN16" s="2"/>
      <c r="YO16" s="2"/>
      <c r="YP16" s="2"/>
      <c r="YQ16" s="2"/>
      <c r="YR16" s="2"/>
      <c r="YS16" s="2"/>
      <c r="YT16" s="2"/>
      <c r="YU16" s="2"/>
      <c r="YV16" s="2"/>
      <c r="YW16" s="2"/>
      <c r="YX16" s="2"/>
      <c r="YY16" s="2"/>
      <c r="YZ16" s="2"/>
      <c r="ZA16" s="2"/>
      <c r="ZB16" s="2"/>
      <c r="ZC16" s="2"/>
      <c r="ZD16" s="2"/>
      <c r="ZE16" s="2"/>
      <c r="ZF16" s="2"/>
      <c r="ZG16" s="2"/>
      <c r="ZH16" s="2"/>
      <c r="ZI16" s="2"/>
      <c r="ZJ16" s="2"/>
      <c r="ZK16" s="2"/>
      <c r="ZL16" s="2"/>
      <c r="ZM16" s="2"/>
      <c r="ZN16" s="2"/>
      <c r="ZO16" s="2"/>
      <c r="ZP16" s="2"/>
      <c r="ZQ16" s="2"/>
      <c r="ZR16" s="2"/>
      <c r="ZS16" s="2"/>
      <c r="ZT16" s="2"/>
      <c r="ZU16" s="2"/>
      <c r="ZV16" s="2"/>
      <c r="ZW16" s="2"/>
      <c r="ZX16" s="2"/>
      <c r="ZY16" s="2"/>
      <c r="ZZ16" s="2"/>
      <c r="AAA16" s="2"/>
      <c r="AAB16" s="2"/>
      <c r="AAC16" s="2"/>
      <c r="AAD16" s="2"/>
      <c r="AAE16" s="2"/>
      <c r="AAF16" s="2"/>
      <c r="AAG16" s="2"/>
      <c r="AAH16" s="2"/>
      <c r="AAI16" s="2"/>
      <c r="AAJ16" s="2"/>
      <c r="AAK16" s="2"/>
      <c r="AAL16" s="2"/>
      <c r="AAM16" s="2"/>
      <c r="AAN16" s="2"/>
      <c r="AAO16" s="2"/>
      <c r="AAP16" s="2"/>
      <c r="AAQ16" s="2"/>
      <c r="AAR16" s="2"/>
      <c r="AAS16" s="2"/>
      <c r="AAT16" s="2"/>
      <c r="AAU16" s="2"/>
      <c r="AAV16" s="2"/>
      <c r="AAW16" s="2"/>
      <c r="AAX16" s="2"/>
      <c r="AAY16" s="2"/>
      <c r="AAZ16" s="2"/>
      <c r="ABA16" s="2"/>
      <c r="ABB16" s="2"/>
      <c r="ABC16" s="2"/>
      <c r="ABD16" s="2"/>
      <c r="ABE16" s="2"/>
      <c r="ABF16" s="2"/>
      <c r="ABG16" s="2"/>
      <c r="ABH16" s="2"/>
      <c r="ABI16" s="2"/>
      <c r="ABJ16" s="2"/>
      <c r="ABK16" s="2"/>
      <c r="ABL16" s="2"/>
      <c r="ABM16" s="2"/>
      <c r="ABN16" s="2"/>
      <c r="ABO16" s="2"/>
      <c r="ABP16" s="2"/>
      <c r="ABQ16" s="2"/>
      <c r="ABR16" s="2"/>
      <c r="ABS16" s="2"/>
      <c r="ABT16" s="2"/>
      <c r="ABU16" s="2"/>
      <c r="ABV16" s="2"/>
      <c r="ABW16" s="2"/>
      <c r="ABX16" s="2"/>
      <c r="ABY16" s="2"/>
      <c r="ABZ16" s="2"/>
      <c r="ACA16" s="2"/>
      <c r="ACB16" s="2"/>
      <c r="ACC16" s="2"/>
      <c r="ACD16" s="2"/>
      <c r="ACE16" s="2"/>
      <c r="ACF16" s="2"/>
      <c r="ACG16" s="2"/>
      <c r="ACH16" s="2"/>
      <c r="ACI16" s="2"/>
      <c r="ACJ16" s="2"/>
      <c r="ACK16" s="2"/>
      <c r="ACL16" s="2"/>
      <c r="ACM16" s="2"/>
      <c r="ACN16" s="2"/>
      <c r="ACO16" s="2"/>
      <c r="ACP16" s="2"/>
      <c r="ACQ16" s="2"/>
      <c r="ACR16" s="2"/>
      <c r="ACS16" s="2"/>
      <c r="ACT16" s="2"/>
      <c r="ACU16" s="2"/>
      <c r="ACV16" s="2"/>
      <c r="ACW16" s="2"/>
      <c r="ACX16" s="2"/>
      <c r="ACY16" s="2"/>
      <c r="ACZ16" s="2"/>
      <c r="ADA16" s="2"/>
      <c r="ADB16" s="2"/>
      <c r="ADC16" s="2"/>
      <c r="ADD16" s="2"/>
      <c r="ADE16" s="2"/>
      <c r="ADF16" s="2"/>
      <c r="ADG16" s="2"/>
      <c r="ADH16" s="2"/>
      <c r="ADI16" s="2"/>
      <c r="ADJ16" s="2"/>
      <c r="ADK16" s="2"/>
      <c r="ADL16" s="2"/>
      <c r="ADM16" s="2"/>
      <c r="ADN16" s="2"/>
      <c r="ADO16" s="2"/>
      <c r="ADP16" s="2"/>
      <c r="ADQ16" s="2"/>
      <c r="ADR16" s="2"/>
      <c r="ADS16" s="2"/>
      <c r="ADT16" s="2"/>
      <c r="ADU16" s="2"/>
      <c r="ADV16" s="2"/>
      <c r="ADW16" s="2"/>
      <c r="ADX16" s="2"/>
      <c r="ADY16" s="2"/>
      <c r="ADZ16" s="2"/>
      <c r="AEA16" s="2"/>
      <c r="AEB16" s="2"/>
      <c r="AEC16" s="2"/>
      <c r="AED16" s="2"/>
      <c r="AEE16" s="2"/>
      <c r="AEF16" s="2"/>
      <c r="AEG16" s="2"/>
      <c r="AEH16" s="2"/>
      <c r="AEI16" s="2"/>
      <c r="AEJ16" s="2"/>
      <c r="AEK16" s="2"/>
      <c r="AEL16" s="2"/>
      <c r="AEM16" s="2"/>
      <c r="AEN16" s="2"/>
      <c r="AEO16" s="2"/>
      <c r="AEP16" s="2"/>
      <c r="AEQ16" s="2"/>
      <c r="AER16" s="2"/>
      <c r="AES16" s="2"/>
      <c r="AET16" s="2"/>
      <c r="AEU16" s="2"/>
      <c r="AEV16" s="2"/>
      <c r="AEW16" s="2"/>
      <c r="AEX16" s="2"/>
      <c r="AEY16" s="2"/>
      <c r="AEZ16" s="2"/>
      <c r="AFA16" s="2"/>
      <c r="AFB16" s="2"/>
      <c r="AFC16" s="2"/>
      <c r="AFD16" s="2"/>
      <c r="AFE16" s="2"/>
      <c r="AFF16" s="2"/>
      <c r="AFG16" s="2"/>
      <c r="AFH16" s="2"/>
      <c r="AFI16" s="2"/>
      <c r="AFJ16" s="2"/>
      <c r="AFK16" s="2"/>
      <c r="AFL16" s="2"/>
      <c r="AFM16" s="2"/>
      <c r="AFN16" s="2"/>
      <c r="AFO16" s="2"/>
      <c r="AFP16" s="2"/>
      <c r="AFQ16" s="2"/>
      <c r="AFR16" s="2"/>
      <c r="AFS16" s="2"/>
      <c r="AFT16" s="2"/>
      <c r="AFU16" s="2"/>
      <c r="AFV16" s="2"/>
      <c r="AFW16" s="2"/>
      <c r="AFX16" s="2"/>
      <c r="AFY16" s="2"/>
      <c r="AFZ16" s="2"/>
      <c r="AGA16" s="2"/>
      <c r="AGB16" s="2"/>
      <c r="AGC16" s="2"/>
      <c r="AGD16" s="2"/>
      <c r="AGE16" s="2"/>
      <c r="AGF16" s="2"/>
      <c r="AGG16" s="2"/>
      <c r="AGH16" s="2"/>
      <c r="AGI16" s="2"/>
      <c r="AGJ16" s="2"/>
      <c r="AGK16" s="2"/>
      <c r="AGL16" s="2"/>
      <c r="AGM16" s="2"/>
      <c r="AGN16" s="2"/>
      <c r="AGO16" s="2"/>
      <c r="AGP16" s="2"/>
      <c r="AGQ16" s="2"/>
      <c r="AGR16" s="2"/>
      <c r="AGS16" s="2"/>
      <c r="AGT16" s="2"/>
      <c r="AGU16" s="2"/>
      <c r="AGV16" s="2"/>
      <c r="AGW16" s="2"/>
      <c r="AGX16" s="2"/>
      <c r="AGY16" s="2"/>
      <c r="AGZ16" s="2"/>
      <c r="AHA16" s="2"/>
      <c r="AHB16" s="2"/>
      <c r="AHC16" s="2"/>
      <c r="AHD16" s="2"/>
      <c r="AHE16" s="2"/>
      <c r="AHF16" s="2"/>
      <c r="AHG16" s="2"/>
      <c r="AHH16" s="2"/>
      <c r="AHI16" s="2"/>
      <c r="AHJ16" s="2"/>
      <c r="AHK16" s="2"/>
      <c r="AHL16" s="2"/>
      <c r="AHM16" s="2"/>
      <c r="AHN16" s="2"/>
      <c r="AHO16" s="2"/>
      <c r="AHP16" s="2"/>
      <c r="AHQ16" s="2"/>
      <c r="AHR16" s="2"/>
      <c r="AHS16" s="2"/>
      <c r="AHT16" s="2"/>
      <c r="AHU16" s="2"/>
      <c r="AHV16" s="2"/>
      <c r="AHW16" s="2"/>
      <c r="AHX16" s="2"/>
      <c r="AHY16" s="2"/>
      <c r="AHZ16" s="2"/>
      <c r="AIA16" s="2"/>
      <c r="AIB16" s="2"/>
      <c r="AIC16" s="2"/>
      <c r="AID16" s="2"/>
      <c r="AIE16" s="2"/>
      <c r="AIF16" s="2"/>
      <c r="AIG16" s="2"/>
      <c r="AIH16" s="2"/>
      <c r="AII16" s="2"/>
      <c r="AIJ16" s="2"/>
      <c r="AIK16" s="2"/>
      <c r="AIL16" s="2"/>
      <c r="AIM16" s="2"/>
      <c r="AIN16" s="2"/>
      <c r="AIO16" s="2"/>
      <c r="AIP16" s="2"/>
      <c r="AIQ16" s="2"/>
      <c r="AIR16" s="2"/>
      <c r="AIS16" s="2"/>
      <c r="AIT16" s="2"/>
      <c r="AIU16" s="2"/>
      <c r="AIV16" s="2"/>
      <c r="AIW16" s="2"/>
      <c r="AIX16" s="2"/>
      <c r="AIY16" s="2"/>
      <c r="AIZ16" s="2"/>
      <c r="AJA16" s="2"/>
      <c r="AJB16" s="2"/>
      <c r="AJC16" s="2"/>
      <c r="AJD16" s="2"/>
      <c r="AJE16" s="2"/>
      <c r="AJF16" s="2"/>
      <c r="AJG16" s="2"/>
      <c r="AJH16" s="2"/>
      <c r="AJI16" s="2"/>
      <c r="AJJ16" s="2"/>
      <c r="AJK16" s="2"/>
      <c r="AJL16" s="2"/>
      <c r="AJM16" s="2"/>
      <c r="AJN16" s="2"/>
      <c r="AJO16" s="2"/>
      <c r="AJP16" s="2"/>
      <c r="AJQ16" s="2"/>
      <c r="AJR16" s="2"/>
      <c r="AJS16" s="2"/>
      <c r="AJT16" s="2"/>
      <c r="AJU16" s="2"/>
      <c r="AJV16" s="2"/>
      <c r="AJW16" s="2"/>
      <c r="AJX16" s="2"/>
      <c r="AJY16" s="2"/>
      <c r="AJZ16" s="2"/>
      <c r="AKA16" s="2"/>
      <c r="AKB16" s="2"/>
      <c r="AKC16" s="2"/>
      <c r="AKD16" s="2"/>
      <c r="AKE16" s="2"/>
      <c r="AKF16" s="2"/>
      <c r="AKG16" s="2"/>
      <c r="AKH16" s="2"/>
      <c r="AKI16" s="2"/>
      <c r="AKJ16" s="2"/>
      <c r="AKK16" s="2"/>
      <c r="AKL16" s="2"/>
      <c r="AKM16" s="2"/>
      <c r="AKN16" s="2"/>
      <c r="AKO16" s="2"/>
      <c r="AKP16" s="2"/>
      <c r="AKQ16" s="2"/>
      <c r="AKR16" s="2"/>
      <c r="AKS16" s="2"/>
      <c r="AKT16" s="2"/>
      <c r="AKU16" s="2"/>
      <c r="AKV16" s="2"/>
      <c r="AKW16" s="2"/>
      <c r="AKX16" s="2"/>
      <c r="AKY16" s="2"/>
      <c r="AKZ16" s="2"/>
      <c r="ALA16" s="2"/>
      <c r="ALB16" s="2"/>
      <c r="ALC16" s="2"/>
      <c r="ALD16" s="2"/>
      <c r="ALE16" s="2"/>
      <c r="ALF16" s="2"/>
      <c r="ALG16" s="2"/>
      <c r="ALH16" s="2"/>
      <c r="ALI16" s="2"/>
      <c r="ALJ16" s="2"/>
      <c r="ALK16" s="2"/>
      <c r="ALL16" s="2"/>
      <c r="ALM16" s="2"/>
      <c r="ALN16" s="2"/>
      <c r="ALO16" s="2"/>
      <c r="ALP16" s="2"/>
      <c r="ALQ16" s="2"/>
      <c r="ALR16" s="2"/>
      <c r="ALS16" s="2"/>
      <c r="ALT16" s="2"/>
      <c r="ALU16" s="2"/>
      <c r="ALV16" s="2"/>
      <c r="ALW16" s="2"/>
      <c r="ALX16" s="2"/>
    </row>
    <row r="17" customFormat="false" ht="15" hidden="false" customHeight="true" outlineLevel="0" collapsed="false">
      <c r="A17" s="2"/>
      <c r="B17" s="64" t="s">
        <v>97</v>
      </c>
      <c r="C17" s="65" t="n">
        <f aca="false">VLOOKUP($B17,Unidades!$D$5:$N$24,6,FALSE())</f>
        <v>1896.48</v>
      </c>
      <c r="D17" s="65" t="n">
        <f aca="false">VLOOKUP($B17,Unidades!$D$5:$N$24,7,FALSE())</f>
        <v>1716.77</v>
      </c>
      <c r="E17" s="65" t="n">
        <f aca="false">VLOOKUP($B17,Unidades!$D$5:$N$24,8,FALSE())</f>
        <v>179.71</v>
      </c>
      <c r="F17" s="65" t="n">
        <f aca="false">VLOOKUP($B17,Unidades!$D$5:$N$24,9,FALSE())</f>
        <v>0</v>
      </c>
      <c r="G17" s="65" t="n">
        <f aca="false">D17+E17*$E$6+F17*$F$6</f>
        <v>1779.6685</v>
      </c>
      <c r="H17" s="66" t="n">
        <f aca="false">IF(G17&lt;750,1.5,IF(G17&lt;2000,2,3))</f>
        <v>2</v>
      </c>
      <c r="I17" s="66" t="n">
        <f aca="false">$I$6*H17</f>
        <v>2.4</v>
      </c>
      <c r="J17" s="66" t="str">
        <f aca="false">VLOOKUP($B17,Unidades!$D$5:$N$24,10,FALSE())</f>
        <v>SIM</v>
      </c>
      <c r="K17" s="66" t="str">
        <f aca="false">VLOOKUP($B17,Unidades!$D$5:$N$24,11,FALSE())</f>
        <v>NÃO</v>
      </c>
      <c r="L17" s="66" t="n">
        <f aca="false">$L$6*H17+(IF(J17="SIM",$J$6,0))</f>
        <v>4.2</v>
      </c>
      <c r="M17" s="66" t="n">
        <f aca="false">$M$6*H17+(IF(J17="SIM",$J$6,0))+(IF(K17="SIM",$K$6,0))</f>
        <v>4.2</v>
      </c>
      <c r="N17" s="66" t="n">
        <f aca="false">H17*12+I17*4+L17*2+M17</f>
        <v>46.2</v>
      </c>
      <c r="O17" s="67" t="n">
        <f aca="false">IF(K17="não", N17*(C$21+D$21),N17*(C$21+D$21)+(M17*+E$21))</f>
        <v>2610.3</v>
      </c>
      <c r="P17" s="68"/>
      <c r="Q17" s="22" t="str">
        <f aca="false">B17</f>
        <v>GEX/APS BLUMENAU</v>
      </c>
      <c r="R17" s="24" t="n">
        <f aca="false">H17*($C$21+$D$21)</f>
        <v>113</v>
      </c>
      <c r="S17" s="24" t="n">
        <f aca="false">I17*($C$21+$D$21)</f>
        <v>135.6</v>
      </c>
      <c r="T17" s="24" t="n">
        <f aca="false">L17*($C$21+$D$21)</f>
        <v>237.3</v>
      </c>
      <c r="U17" s="24" t="n">
        <f aca="false">IF(K17="não",M17*($C$21+$D$21),M17*(C$21+D$21+E$21))</f>
        <v>237.3</v>
      </c>
      <c r="V17" s="24" t="n">
        <f aca="false">VLOOKUP(Q17,'Desl. Base Blumenau'!$C$5:$S$15,13,FALSE())*($C$21+$D$21+$E$21*(VLOOKUP(Q17,'Desl. Base Blumenau'!$C$5:$S$15,17,FALSE())/12))</f>
        <v>3.76666666666667</v>
      </c>
      <c r="W17" s="24" t="n">
        <f aca="false">VLOOKUP(Q17,'Desl. Base Blumenau'!$C$5:$S$15,15,FALSE())*(2+(VLOOKUP(Q17,'Desl. Base Blumenau'!$C$5:$S$15,17,FALSE())/12))</f>
        <v>0</v>
      </c>
      <c r="X17" s="24" t="n">
        <f aca="false">VLOOKUP(Q17,'Desl. Base Blumenau'!$C$5:$Q$15,14,FALSE())</f>
        <v>0</v>
      </c>
      <c r="Y17" s="24" t="n">
        <f aca="false">VLOOKUP(Q17,'Desl. Base Blumenau'!$C$5:$Q$15,13,FALSE())*'Desl. Base Blumenau'!$E$20+'Desl. Base Blumenau'!$E$21*N17/12</f>
        <v>30.2255</v>
      </c>
      <c r="Z17" s="24" t="n">
        <f aca="false">(H17/$AC$5)*'Equipe Técnica'!$C$13</f>
        <v>458.695528191834</v>
      </c>
      <c r="AA17" s="24" t="n">
        <f aca="false">(I17/$AC$5)*'Equipe Técnica'!$C$13</f>
        <v>550.434633830201</v>
      </c>
      <c r="AB17" s="24" t="n">
        <f aca="false">(L17/$AC$5)*'Equipe Técnica'!$C$13</f>
        <v>963.260609202852</v>
      </c>
      <c r="AC17" s="24" t="n">
        <f aca="false">(M17/$AC$5)*'Equipe Técnica'!$C$13</f>
        <v>963.260609202852</v>
      </c>
      <c r="AD17" s="24" t="n">
        <f aca="false">R17+(($V17+$W17+$X17+$Y17)*12/19)+$Z17</f>
        <v>593.164265033939</v>
      </c>
      <c r="AE17" s="24" t="n">
        <f aca="false">S17+(($V17+$W17+$X17+$Y17)*12/19)+$AA17</f>
        <v>707.503370672306</v>
      </c>
      <c r="AF17" s="24" t="n">
        <f aca="false">T17+(($V17+$W17+$X17+$Y17)*12/19)+$AB17</f>
        <v>1222.02934604496</v>
      </c>
      <c r="AG17" s="24" t="n">
        <f aca="false">U17+(($V17+$W17+$X17+$Y17)*12/19)+$AC17</f>
        <v>1222.02934604496</v>
      </c>
      <c r="AH17" s="2"/>
      <c r="AI17" s="22" t="str">
        <f aca="false">B17</f>
        <v>GEX/APS BLUMENAU</v>
      </c>
      <c r="AJ17" s="69" t="n">
        <f aca="false">VLOOKUP(AI17,Unidades!D$5:H$24,5,)</f>
        <v>0.2624</v>
      </c>
      <c r="AK17" s="48" t="n">
        <f aca="false">AD17*(1+$AJ17)</f>
        <v>748.810568178845</v>
      </c>
      <c r="AL17" s="48" t="n">
        <f aca="false">AE17*(1+$AJ17)</f>
        <v>893.152255136719</v>
      </c>
      <c r="AM17" s="48" t="n">
        <f aca="false">AF17*(1+$AJ17)</f>
        <v>1542.68984644715</v>
      </c>
      <c r="AN17" s="48" t="n">
        <f aca="false">AG17*(1+$AJ17)</f>
        <v>1542.68984644715</v>
      </c>
      <c r="AO17" s="48" t="n">
        <f aca="false">((AK17*12)+(AL17*4)+(AM17*2)+AN17)/12</f>
        <v>1432.20044816954</v>
      </c>
      <c r="AP17" s="48" t="n">
        <f aca="false">AO17*3</f>
        <v>4296.60134450862</v>
      </c>
      <c r="AQ17" s="48" t="n">
        <f aca="false">AO17+AP17</f>
        <v>5728.80179267816</v>
      </c>
      <c r="AR17" s="70"/>
      <c r="AS17" s="70"/>
      <c r="AT17" s="70"/>
      <c r="AU17" s="70"/>
      <c r="AV17" s="70"/>
      <c r="AW17" s="70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2"/>
      <c r="KR17" s="2"/>
      <c r="KS17" s="2"/>
      <c r="KT17" s="2"/>
      <c r="KU17" s="2"/>
      <c r="KV17" s="2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2"/>
      <c r="MU17" s="2"/>
      <c r="MV17" s="2"/>
      <c r="MW17" s="2"/>
      <c r="MX17" s="2"/>
      <c r="MY17" s="2"/>
      <c r="MZ17" s="2"/>
      <c r="NA17" s="2"/>
      <c r="NB17" s="2"/>
      <c r="NC17" s="2"/>
      <c r="ND17" s="2"/>
      <c r="NE17" s="2"/>
      <c r="NF17" s="2"/>
      <c r="NG17" s="2"/>
      <c r="NH17" s="2"/>
      <c r="NI17" s="2"/>
      <c r="NJ17" s="2"/>
      <c r="NK17" s="2"/>
      <c r="NL17" s="2"/>
      <c r="NM17" s="2"/>
      <c r="NN17" s="2"/>
      <c r="NO17" s="2"/>
      <c r="NP17" s="2"/>
      <c r="NQ17" s="2"/>
      <c r="NR17" s="2"/>
      <c r="NS17" s="2"/>
      <c r="NT17" s="2"/>
      <c r="NU17" s="2"/>
      <c r="NV17" s="2"/>
      <c r="NW17" s="2"/>
      <c r="NX17" s="2"/>
      <c r="NY17" s="2"/>
      <c r="NZ17" s="2"/>
      <c r="OA17" s="2"/>
      <c r="OB17" s="2"/>
      <c r="OC17" s="2"/>
      <c r="OD17" s="2"/>
      <c r="OE17" s="2"/>
      <c r="OF17" s="2"/>
      <c r="OG17" s="2"/>
      <c r="OH17" s="2"/>
      <c r="OI17" s="2"/>
      <c r="OJ17" s="2"/>
      <c r="OK17" s="2"/>
      <c r="OL17" s="2"/>
      <c r="OM17" s="2"/>
      <c r="ON17" s="2"/>
      <c r="OO17" s="2"/>
      <c r="OP17" s="2"/>
      <c r="OQ17" s="2"/>
      <c r="OR17" s="2"/>
      <c r="OS17" s="2"/>
      <c r="OT17" s="2"/>
      <c r="OU17" s="2"/>
      <c r="OV17" s="2"/>
      <c r="OW17" s="2"/>
      <c r="OX17" s="2"/>
      <c r="OY17" s="2"/>
      <c r="OZ17" s="2"/>
      <c r="PA17" s="2"/>
      <c r="PB17" s="2"/>
      <c r="PC17" s="2"/>
      <c r="PD17" s="2"/>
      <c r="PE17" s="2"/>
      <c r="PF17" s="2"/>
      <c r="PG17" s="2"/>
      <c r="PH17" s="2"/>
      <c r="PI17" s="2"/>
      <c r="PJ17" s="2"/>
      <c r="PK17" s="2"/>
      <c r="PL17" s="2"/>
      <c r="PM17" s="2"/>
      <c r="PN17" s="2"/>
      <c r="PO17" s="2"/>
      <c r="PP17" s="2"/>
      <c r="PQ17" s="2"/>
      <c r="PR17" s="2"/>
      <c r="PS17" s="2"/>
      <c r="PT17" s="2"/>
      <c r="PU17" s="2"/>
      <c r="PV17" s="2"/>
      <c r="PW17" s="2"/>
      <c r="PX17" s="2"/>
      <c r="PY17" s="2"/>
      <c r="PZ17" s="2"/>
      <c r="QA17" s="2"/>
      <c r="QB17" s="2"/>
      <c r="QC17" s="2"/>
      <c r="QD17" s="2"/>
      <c r="QE17" s="2"/>
      <c r="QF17" s="2"/>
      <c r="QG17" s="2"/>
      <c r="QH17" s="2"/>
      <c r="QI17" s="2"/>
      <c r="QJ17" s="2"/>
      <c r="QK17" s="2"/>
      <c r="QL17" s="2"/>
      <c r="QM17" s="2"/>
      <c r="QN17" s="2"/>
      <c r="QO17" s="2"/>
      <c r="QP17" s="2"/>
      <c r="QQ17" s="2"/>
      <c r="QR17" s="2"/>
      <c r="QS17" s="2"/>
      <c r="QT17" s="2"/>
      <c r="QU17" s="2"/>
      <c r="QV17" s="2"/>
      <c r="QW17" s="2"/>
      <c r="QX17" s="2"/>
      <c r="QY17" s="2"/>
      <c r="QZ17" s="2"/>
      <c r="RA17" s="2"/>
      <c r="RB17" s="2"/>
      <c r="RC17" s="2"/>
      <c r="RD17" s="2"/>
      <c r="RE17" s="2"/>
      <c r="RF17" s="2"/>
      <c r="RG17" s="2"/>
      <c r="RH17" s="2"/>
      <c r="RI17" s="2"/>
      <c r="RJ17" s="2"/>
      <c r="RK17" s="2"/>
      <c r="RL17" s="2"/>
      <c r="RM17" s="2"/>
      <c r="RN17" s="2"/>
      <c r="RO17" s="2"/>
      <c r="RP17" s="2"/>
      <c r="RQ17" s="2"/>
      <c r="RR17" s="2"/>
      <c r="RS17" s="2"/>
      <c r="RT17" s="2"/>
      <c r="RU17" s="2"/>
      <c r="RV17" s="2"/>
      <c r="RW17" s="2"/>
      <c r="RX17" s="2"/>
      <c r="RY17" s="2"/>
      <c r="RZ17" s="2"/>
      <c r="SA17" s="2"/>
      <c r="SB17" s="2"/>
      <c r="SC17" s="2"/>
      <c r="SD17" s="2"/>
      <c r="SE17" s="2"/>
      <c r="SF17" s="2"/>
      <c r="SG17" s="2"/>
      <c r="SH17" s="2"/>
      <c r="SI17" s="2"/>
      <c r="SJ17" s="2"/>
      <c r="SK17" s="2"/>
      <c r="SL17" s="2"/>
      <c r="SM17" s="2"/>
      <c r="SN17" s="2"/>
      <c r="SO17" s="2"/>
      <c r="SP17" s="2"/>
      <c r="SQ17" s="2"/>
      <c r="SR17" s="2"/>
      <c r="SS17" s="2"/>
      <c r="ST17" s="2"/>
      <c r="SU17" s="2"/>
      <c r="SV17" s="2"/>
      <c r="SW17" s="2"/>
      <c r="SX17" s="2"/>
      <c r="SY17" s="2"/>
      <c r="SZ17" s="2"/>
      <c r="TA17" s="2"/>
      <c r="TB17" s="2"/>
      <c r="TC17" s="2"/>
      <c r="TD17" s="2"/>
      <c r="TE17" s="2"/>
      <c r="TF17" s="2"/>
      <c r="TG17" s="2"/>
      <c r="TH17" s="2"/>
      <c r="TI17" s="2"/>
      <c r="TJ17" s="2"/>
      <c r="TK17" s="2"/>
      <c r="TL17" s="2"/>
      <c r="TM17" s="2"/>
      <c r="TN17" s="2"/>
      <c r="TO17" s="2"/>
      <c r="TP17" s="2"/>
      <c r="TQ17" s="2"/>
      <c r="TR17" s="2"/>
      <c r="TS17" s="2"/>
      <c r="TT17" s="2"/>
      <c r="TU17" s="2"/>
      <c r="TV17" s="2"/>
      <c r="TW17" s="2"/>
      <c r="TX17" s="2"/>
      <c r="TY17" s="2"/>
      <c r="TZ17" s="2"/>
      <c r="UA17" s="2"/>
      <c r="UB17" s="2"/>
      <c r="UC17" s="2"/>
      <c r="UD17" s="2"/>
      <c r="UE17" s="2"/>
      <c r="UF17" s="2"/>
      <c r="UG17" s="2"/>
      <c r="UH17" s="2"/>
      <c r="UI17" s="2"/>
      <c r="UJ17" s="2"/>
      <c r="UK17" s="2"/>
      <c r="UL17" s="2"/>
      <c r="UM17" s="2"/>
      <c r="UN17" s="2"/>
      <c r="UO17" s="2"/>
      <c r="UP17" s="2"/>
      <c r="UQ17" s="2"/>
      <c r="UR17" s="2"/>
      <c r="US17" s="2"/>
      <c r="UT17" s="2"/>
      <c r="UU17" s="2"/>
      <c r="UV17" s="2"/>
      <c r="UW17" s="2"/>
      <c r="UX17" s="2"/>
      <c r="UY17" s="2"/>
      <c r="UZ17" s="2"/>
      <c r="VA17" s="2"/>
      <c r="VB17" s="2"/>
      <c r="VC17" s="2"/>
      <c r="VD17" s="2"/>
      <c r="VE17" s="2"/>
      <c r="VF17" s="2"/>
      <c r="VG17" s="2"/>
      <c r="VH17" s="2"/>
      <c r="VI17" s="2"/>
      <c r="VJ17" s="2"/>
      <c r="VK17" s="2"/>
      <c r="VL17" s="2"/>
      <c r="VM17" s="2"/>
      <c r="VN17" s="2"/>
      <c r="VO17" s="2"/>
      <c r="VP17" s="2"/>
      <c r="VQ17" s="2"/>
      <c r="VR17" s="2"/>
      <c r="VS17" s="2"/>
      <c r="VT17" s="2"/>
      <c r="VU17" s="2"/>
      <c r="VV17" s="2"/>
      <c r="VW17" s="2"/>
      <c r="VX17" s="2"/>
      <c r="VY17" s="2"/>
      <c r="VZ17" s="2"/>
      <c r="WA17" s="2"/>
      <c r="WB17" s="2"/>
      <c r="WC17" s="2"/>
      <c r="WD17" s="2"/>
      <c r="WE17" s="2"/>
      <c r="WF17" s="2"/>
      <c r="WG17" s="2"/>
      <c r="WH17" s="2"/>
      <c r="WI17" s="2"/>
      <c r="WJ17" s="2"/>
      <c r="WK17" s="2"/>
      <c r="WL17" s="2"/>
      <c r="WM17" s="2"/>
      <c r="WN17" s="2"/>
      <c r="WO17" s="2"/>
      <c r="WP17" s="2"/>
      <c r="WQ17" s="2"/>
      <c r="WR17" s="2"/>
      <c r="WS17" s="2"/>
      <c r="WT17" s="2"/>
      <c r="WU17" s="2"/>
      <c r="WV17" s="2"/>
      <c r="WW17" s="2"/>
      <c r="WX17" s="2"/>
      <c r="WY17" s="2"/>
      <c r="WZ17" s="2"/>
      <c r="XA17" s="2"/>
      <c r="XB17" s="2"/>
      <c r="XC17" s="2"/>
      <c r="XD17" s="2"/>
      <c r="XE17" s="2"/>
      <c r="XF17" s="2"/>
      <c r="XG17" s="2"/>
      <c r="XH17" s="2"/>
      <c r="XI17" s="2"/>
      <c r="XJ17" s="2"/>
      <c r="XK17" s="2"/>
      <c r="XL17" s="2"/>
      <c r="XM17" s="2"/>
      <c r="XN17" s="2"/>
      <c r="XO17" s="2"/>
      <c r="XP17" s="2"/>
      <c r="XQ17" s="2"/>
      <c r="XR17" s="2"/>
      <c r="XS17" s="2"/>
      <c r="XT17" s="2"/>
      <c r="XU17" s="2"/>
      <c r="XV17" s="2"/>
      <c r="XW17" s="2"/>
      <c r="XX17" s="2"/>
      <c r="XY17" s="2"/>
      <c r="XZ17" s="2"/>
      <c r="YA17" s="2"/>
      <c r="YB17" s="2"/>
      <c r="YC17" s="2"/>
      <c r="YD17" s="2"/>
      <c r="YE17" s="2"/>
      <c r="YF17" s="2"/>
      <c r="YG17" s="2"/>
      <c r="YH17" s="2"/>
      <c r="YI17" s="2"/>
      <c r="YJ17" s="2"/>
      <c r="YK17" s="2"/>
      <c r="YL17" s="2"/>
      <c r="YM17" s="2"/>
      <c r="YN17" s="2"/>
      <c r="YO17" s="2"/>
      <c r="YP17" s="2"/>
      <c r="YQ17" s="2"/>
      <c r="YR17" s="2"/>
      <c r="YS17" s="2"/>
      <c r="YT17" s="2"/>
      <c r="YU17" s="2"/>
      <c r="YV17" s="2"/>
      <c r="YW17" s="2"/>
      <c r="YX17" s="2"/>
      <c r="YY17" s="2"/>
      <c r="YZ17" s="2"/>
      <c r="ZA17" s="2"/>
      <c r="ZB17" s="2"/>
      <c r="ZC17" s="2"/>
      <c r="ZD17" s="2"/>
      <c r="ZE17" s="2"/>
      <c r="ZF17" s="2"/>
      <c r="ZG17" s="2"/>
      <c r="ZH17" s="2"/>
      <c r="ZI17" s="2"/>
      <c r="ZJ17" s="2"/>
      <c r="ZK17" s="2"/>
      <c r="ZL17" s="2"/>
      <c r="ZM17" s="2"/>
      <c r="ZN17" s="2"/>
      <c r="ZO17" s="2"/>
      <c r="ZP17" s="2"/>
      <c r="ZQ17" s="2"/>
      <c r="ZR17" s="2"/>
      <c r="ZS17" s="2"/>
      <c r="ZT17" s="2"/>
      <c r="ZU17" s="2"/>
      <c r="ZV17" s="2"/>
      <c r="ZW17" s="2"/>
      <c r="ZX17" s="2"/>
      <c r="ZY17" s="2"/>
      <c r="ZZ17" s="2"/>
      <c r="AAA17" s="2"/>
      <c r="AAB17" s="2"/>
      <c r="AAC17" s="2"/>
      <c r="AAD17" s="2"/>
      <c r="AAE17" s="2"/>
      <c r="AAF17" s="2"/>
      <c r="AAG17" s="2"/>
      <c r="AAH17" s="2"/>
      <c r="AAI17" s="2"/>
      <c r="AAJ17" s="2"/>
      <c r="AAK17" s="2"/>
      <c r="AAL17" s="2"/>
      <c r="AAM17" s="2"/>
      <c r="AAN17" s="2"/>
      <c r="AAO17" s="2"/>
      <c r="AAP17" s="2"/>
      <c r="AAQ17" s="2"/>
      <c r="AAR17" s="2"/>
      <c r="AAS17" s="2"/>
      <c r="AAT17" s="2"/>
      <c r="AAU17" s="2"/>
      <c r="AAV17" s="2"/>
      <c r="AAW17" s="2"/>
      <c r="AAX17" s="2"/>
      <c r="AAY17" s="2"/>
      <c r="AAZ17" s="2"/>
      <c r="ABA17" s="2"/>
      <c r="ABB17" s="2"/>
      <c r="ABC17" s="2"/>
      <c r="ABD17" s="2"/>
      <c r="ABE17" s="2"/>
      <c r="ABF17" s="2"/>
      <c r="ABG17" s="2"/>
      <c r="ABH17" s="2"/>
      <c r="ABI17" s="2"/>
      <c r="ABJ17" s="2"/>
      <c r="ABK17" s="2"/>
      <c r="ABL17" s="2"/>
      <c r="ABM17" s="2"/>
      <c r="ABN17" s="2"/>
      <c r="ABO17" s="2"/>
      <c r="ABP17" s="2"/>
      <c r="ABQ17" s="2"/>
      <c r="ABR17" s="2"/>
      <c r="ABS17" s="2"/>
      <c r="ABT17" s="2"/>
      <c r="ABU17" s="2"/>
      <c r="ABV17" s="2"/>
      <c r="ABW17" s="2"/>
      <c r="ABX17" s="2"/>
      <c r="ABY17" s="2"/>
      <c r="ABZ17" s="2"/>
      <c r="ACA17" s="2"/>
      <c r="ACB17" s="2"/>
      <c r="ACC17" s="2"/>
      <c r="ACD17" s="2"/>
      <c r="ACE17" s="2"/>
      <c r="ACF17" s="2"/>
      <c r="ACG17" s="2"/>
      <c r="ACH17" s="2"/>
      <c r="ACI17" s="2"/>
      <c r="ACJ17" s="2"/>
      <c r="ACK17" s="2"/>
      <c r="ACL17" s="2"/>
      <c r="ACM17" s="2"/>
      <c r="ACN17" s="2"/>
      <c r="ACO17" s="2"/>
      <c r="ACP17" s="2"/>
      <c r="ACQ17" s="2"/>
      <c r="ACR17" s="2"/>
      <c r="ACS17" s="2"/>
      <c r="ACT17" s="2"/>
      <c r="ACU17" s="2"/>
      <c r="ACV17" s="2"/>
      <c r="ACW17" s="2"/>
      <c r="ACX17" s="2"/>
      <c r="ACY17" s="2"/>
      <c r="ACZ17" s="2"/>
      <c r="ADA17" s="2"/>
      <c r="ADB17" s="2"/>
      <c r="ADC17" s="2"/>
      <c r="ADD17" s="2"/>
      <c r="ADE17" s="2"/>
      <c r="ADF17" s="2"/>
      <c r="ADG17" s="2"/>
      <c r="ADH17" s="2"/>
      <c r="ADI17" s="2"/>
      <c r="ADJ17" s="2"/>
      <c r="ADK17" s="2"/>
      <c r="ADL17" s="2"/>
      <c r="ADM17" s="2"/>
      <c r="ADN17" s="2"/>
      <c r="ADO17" s="2"/>
      <c r="ADP17" s="2"/>
      <c r="ADQ17" s="2"/>
      <c r="ADR17" s="2"/>
      <c r="ADS17" s="2"/>
      <c r="ADT17" s="2"/>
      <c r="ADU17" s="2"/>
      <c r="ADV17" s="2"/>
      <c r="ADW17" s="2"/>
      <c r="ADX17" s="2"/>
      <c r="ADY17" s="2"/>
      <c r="ADZ17" s="2"/>
      <c r="AEA17" s="2"/>
      <c r="AEB17" s="2"/>
      <c r="AEC17" s="2"/>
      <c r="AED17" s="2"/>
      <c r="AEE17" s="2"/>
      <c r="AEF17" s="2"/>
      <c r="AEG17" s="2"/>
      <c r="AEH17" s="2"/>
      <c r="AEI17" s="2"/>
      <c r="AEJ17" s="2"/>
      <c r="AEK17" s="2"/>
      <c r="AEL17" s="2"/>
      <c r="AEM17" s="2"/>
      <c r="AEN17" s="2"/>
      <c r="AEO17" s="2"/>
      <c r="AEP17" s="2"/>
      <c r="AEQ17" s="2"/>
      <c r="AER17" s="2"/>
      <c r="AES17" s="2"/>
      <c r="AET17" s="2"/>
      <c r="AEU17" s="2"/>
      <c r="AEV17" s="2"/>
      <c r="AEW17" s="2"/>
      <c r="AEX17" s="2"/>
      <c r="AEY17" s="2"/>
      <c r="AEZ17" s="2"/>
      <c r="AFA17" s="2"/>
      <c r="AFB17" s="2"/>
      <c r="AFC17" s="2"/>
      <c r="AFD17" s="2"/>
      <c r="AFE17" s="2"/>
      <c r="AFF17" s="2"/>
      <c r="AFG17" s="2"/>
      <c r="AFH17" s="2"/>
      <c r="AFI17" s="2"/>
      <c r="AFJ17" s="2"/>
      <c r="AFK17" s="2"/>
      <c r="AFL17" s="2"/>
      <c r="AFM17" s="2"/>
      <c r="AFN17" s="2"/>
      <c r="AFO17" s="2"/>
      <c r="AFP17" s="2"/>
      <c r="AFQ17" s="2"/>
      <c r="AFR17" s="2"/>
      <c r="AFS17" s="2"/>
      <c r="AFT17" s="2"/>
      <c r="AFU17" s="2"/>
      <c r="AFV17" s="2"/>
      <c r="AFW17" s="2"/>
      <c r="AFX17" s="2"/>
      <c r="AFY17" s="2"/>
      <c r="AFZ17" s="2"/>
      <c r="AGA17" s="2"/>
      <c r="AGB17" s="2"/>
      <c r="AGC17" s="2"/>
      <c r="AGD17" s="2"/>
      <c r="AGE17" s="2"/>
      <c r="AGF17" s="2"/>
      <c r="AGG17" s="2"/>
      <c r="AGH17" s="2"/>
      <c r="AGI17" s="2"/>
      <c r="AGJ17" s="2"/>
      <c r="AGK17" s="2"/>
      <c r="AGL17" s="2"/>
      <c r="AGM17" s="2"/>
      <c r="AGN17" s="2"/>
      <c r="AGO17" s="2"/>
      <c r="AGP17" s="2"/>
      <c r="AGQ17" s="2"/>
      <c r="AGR17" s="2"/>
      <c r="AGS17" s="2"/>
      <c r="AGT17" s="2"/>
      <c r="AGU17" s="2"/>
      <c r="AGV17" s="2"/>
      <c r="AGW17" s="2"/>
      <c r="AGX17" s="2"/>
      <c r="AGY17" s="2"/>
      <c r="AGZ17" s="2"/>
      <c r="AHA17" s="2"/>
      <c r="AHB17" s="2"/>
      <c r="AHC17" s="2"/>
      <c r="AHD17" s="2"/>
      <c r="AHE17" s="2"/>
      <c r="AHF17" s="2"/>
      <c r="AHG17" s="2"/>
      <c r="AHH17" s="2"/>
      <c r="AHI17" s="2"/>
      <c r="AHJ17" s="2"/>
      <c r="AHK17" s="2"/>
      <c r="AHL17" s="2"/>
      <c r="AHM17" s="2"/>
      <c r="AHN17" s="2"/>
      <c r="AHO17" s="2"/>
      <c r="AHP17" s="2"/>
      <c r="AHQ17" s="2"/>
      <c r="AHR17" s="2"/>
      <c r="AHS17" s="2"/>
      <c r="AHT17" s="2"/>
      <c r="AHU17" s="2"/>
      <c r="AHV17" s="2"/>
      <c r="AHW17" s="2"/>
      <c r="AHX17" s="2"/>
      <c r="AHY17" s="2"/>
      <c r="AHZ17" s="2"/>
      <c r="AIA17" s="2"/>
      <c r="AIB17" s="2"/>
      <c r="AIC17" s="2"/>
      <c r="AID17" s="2"/>
      <c r="AIE17" s="2"/>
      <c r="AIF17" s="2"/>
      <c r="AIG17" s="2"/>
      <c r="AIH17" s="2"/>
      <c r="AII17" s="2"/>
      <c r="AIJ17" s="2"/>
      <c r="AIK17" s="2"/>
      <c r="AIL17" s="2"/>
      <c r="AIM17" s="2"/>
      <c r="AIN17" s="2"/>
      <c r="AIO17" s="2"/>
      <c r="AIP17" s="2"/>
      <c r="AIQ17" s="2"/>
      <c r="AIR17" s="2"/>
      <c r="AIS17" s="2"/>
      <c r="AIT17" s="2"/>
      <c r="AIU17" s="2"/>
      <c r="AIV17" s="2"/>
      <c r="AIW17" s="2"/>
      <c r="AIX17" s="2"/>
      <c r="AIY17" s="2"/>
      <c r="AIZ17" s="2"/>
      <c r="AJA17" s="2"/>
      <c r="AJB17" s="2"/>
      <c r="AJC17" s="2"/>
      <c r="AJD17" s="2"/>
      <c r="AJE17" s="2"/>
      <c r="AJF17" s="2"/>
      <c r="AJG17" s="2"/>
      <c r="AJH17" s="2"/>
      <c r="AJI17" s="2"/>
      <c r="AJJ17" s="2"/>
      <c r="AJK17" s="2"/>
      <c r="AJL17" s="2"/>
      <c r="AJM17" s="2"/>
      <c r="AJN17" s="2"/>
      <c r="AJO17" s="2"/>
      <c r="AJP17" s="2"/>
      <c r="AJQ17" s="2"/>
      <c r="AJR17" s="2"/>
      <c r="AJS17" s="2"/>
      <c r="AJT17" s="2"/>
      <c r="AJU17" s="2"/>
      <c r="AJV17" s="2"/>
      <c r="AJW17" s="2"/>
      <c r="AJX17" s="2"/>
      <c r="AJY17" s="2"/>
      <c r="AJZ17" s="2"/>
      <c r="AKA17" s="2"/>
      <c r="AKB17" s="2"/>
      <c r="AKC17" s="2"/>
      <c r="AKD17" s="2"/>
      <c r="AKE17" s="2"/>
      <c r="AKF17" s="2"/>
      <c r="AKG17" s="2"/>
      <c r="AKH17" s="2"/>
      <c r="AKI17" s="2"/>
      <c r="AKJ17" s="2"/>
      <c r="AKK17" s="2"/>
      <c r="AKL17" s="2"/>
      <c r="AKM17" s="2"/>
      <c r="AKN17" s="2"/>
      <c r="AKO17" s="2"/>
      <c r="AKP17" s="2"/>
      <c r="AKQ17" s="2"/>
      <c r="AKR17" s="2"/>
      <c r="AKS17" s="2"/>
      <c r="AKT17" s="2"/>
      <c r="AKU17" s="2"/>
      <c r="AKV17" s="2"/>
      <c r="AKW17" s="2"/>
      <c r="AKX17" s="2"/>
      <c r="AKY17" s="2"/>
      <c r="AKZ17" s="2"/>
      <c r="ALA17" s="2"/>
      <c r="ALB17" s="2"/>
      <c r="ALC17" s="2"/>
      <c r="ALD17" s="2"/>
      <c r="ALE17" s="2"/>
      <c r="ALF17" s="2"/>
      <c r="ALG17" s="2"/>
      <c r="ALH17" s="2"/>
      <c r="ALI17" s="2"/>
      <c r="ALJ17" s="2"/>
      <c r="ALK17" s="2"/>
      <c r="ALL17" s="2"/>
      <c r="ALM17" s="2"/>
      <c r="ALN17" s="2"/>
      <c r="ALO17" s="2"/>
      <c r="ALP17" s="2"/>
      <c r="ALQ17" s="2"/>
      <c r="ALR17" s="2"/>
      <c r="ALS17" s="2"/>
      <c r="ALT17" s="2"/>
      <c r="ALU17" s="2"/>
      <c r="ALV17" s="2"/>
      <c r="ALW17" s="2"/>
      <c r="ALX17" s="2"/>
    </row>
    <row r="18" customFormat="false" ht="19.5" hidden="false" customHeight="true" outlineLevel="0" collapsed="false">
      <c r="A18" s="55"/>
      <c r="B18" s="32"/>
      <c r="C18" s="74" t="n">
        <f aca="false">SUM(C7:C17)</f>
        <v>12059.1</v>
      </c>
      <c r="D18" s="74" t="n">
        <f aca="false">SUM(D7:D17)</f>
        <v>7463.49</v>
      </c>
      <c r="E18" s="74" t="n">
        <f aca="false">SUM(E7:E17)</f>
        <v>2930.45</v>
      </c>
      <c r="F18" s="74" t="n">
        <f aca="false">SUM(F7:F17)</f>
        <v>1665.16</v>
      </c>
      <c r="G18" s="74" t="n">
        <f aca="false">SUM(G7:G17)</f>
        <v>8655.6635</v>
      </c>
      <c r="H18" s="75" t="n">
        <f aca="false">SUM(H7:H17)</f>
        <v>18.5</v>
      </c>
      <c r="I18" s="75" t="n">
        <f aca="false">SUM(I7:I17)</f>
        <v>22.2</v>
      </c>
      <c r="J18" s="75" t="n">
        <f aca="false">COUNTIF(J7:J17,"SIM")</f>
        <v>3</v>
      </c>
      <c r="K18" s="75" t="n">
        <f aca="false">COUNTIF(K7:K17,"SIM")</f>
        <v>3</v>
      </c>
      <c r="L18" s="75" t="n">
        <f aca="false">SUM(L7:L17)</f>
        <v>26.35</v>
      </c>
      <c r="M18" s="75" t="n">
        <f aca="false">SUM(M7:M17)</f>
        <v>38.35</v>
      </c>
      <c r="N18" s="75" t="n">
        <f aca="false">SUM(N7:N17)</f>
        <v>401.85</v>
      </c>
      <c r="O18" s="76" t="n">
        <f aca="false">SUM(O7:O17)</f>
        <v>23446.1995</v>
      </c>
      <c r="P18" s="77"/>
      <c r="Q18" s="75" t="s">
        <v>98</v>
      </c>
      <c r="R18" s="78" t="n">
        <f aca="false">SUM(R7:R17)</f>
        <v>1045.25</v>
      </c>
      <c r="S18" s="78" t="n">
        <f aca="false">SUM(S7:S17)</f>
        <v>1254.3</v>
      </c>
      <c r="T18" s="78" t="n">
        <f aca="false">SUM(T7:T17)</f>
        <v>1488.775</v>
      </c>
      <c r="U18" s="78" t="n">
        <f aca="false">SUM(U7:U17)</f>
        <v>2908.4495</v>
      </c>
      <c r="V18" s="78" t="n">
        <f aca="false">SUM(V7:V17)</f>
        <v>646.896027777778</v>
      </c>
      <c r="W18" s="78" t="n">
        <f aca="false">SUM(W7:W17)</f>
        <v>0</v>
      </c>
      <c r="X18" s="78" t="n">
        <f aca="false">SUM(X7:X17)</f>
        <v>0</v>
      </c>
      <c r="Y18" s="78" t="n">
        <f aca="false">SUM(Y7:Y17)</f>
        <v>810.160125</v>
      </c>
      <c r="Z18" s="78" t="n">
        <f aca="false">SUM(Z7:Z17)</f>
        <v>4242.93363577447</v>
      </c>
      <c r="AA18" s="78" t="n">
        <f aca="false">SUM(AA7:AA17)</f>
        <v>5091.52036292936</v>
      </c>
      <c r="AB18" s="78" t="n">
        <f aca="false">SUM(AB7:AB17)</f>
        <v>6043.31358392741</v>
      </c>
      <c r="AC18" s="78" t="n">
        <f aca="false">SUM(AC7:AC17)</f>
        <v>8795.48675307842</v>
      </c>
      <c r="AD18" s="78" t="n">
        <f aca="false">SUM(AD7:AD17)</f>
        <v>6208.42962700254</v>
      </c>
      <c r="AE18" s="78" t="n">
        <f aca="false">SUM(AE7:AE17)</f>
        <v>7266.06635415743</v>
      </c>
      <c r="AF18" s="78" t="n">
        <f aca="false">SUM(AF7:AF17)</f>
        <v>8452.33457515548</v>
      </c>
      <c r="AG18" s="78" t="n">
        <f aca="false">SUM(AG7:AG17)</f>
        <v>12624.1822443065</v>
      </c>
      <c r="AH18" s="55"/>
      <c r="AI18" s="75" t="s">
        <v>98</v>
      </c>
      <c r="AJ18" s="75"/>
      <c r="AK18" s="79" t="n">
        <f aca="false">SUM(AK7:AK17)</f>
        <v>7687.12803755903</v>
      </c>
      <c r="AL18" s="79" t="n">
        <f aca="false">SUM(AL7:AL17)</f>
        <v>8997.28839647154</v>
      </c>
      <c r="AM18" s="79" t="n">
        <f aca="false">SUM(AM7:AM17)</f>
        <v>10476.461962861</v>
      </c>
      <c r="AN18" s="79" t="n">
        <f aca="false">SUM(AN7:AN17)</f>
        <v>15612.0258771528</v>
      </c>
      <c r="AO18" s="79" t="n">
        <f aca="false">SUM(AO7:AO17)</f>
        <v>13733.3033199558</v>
      </c>
      <c r="AP18" s="79" t="n">
        <f aca="false">SUM(AP7:AP17)</f>
        <v>41199.9099598674</v>
      </c>
      <c r="AQ18" s="79" t="n">
        <f aca="false">SUM(AQ7:AQ17)</f>
        <v>54933.2132798232</v>
      </c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  <c r="CA18" s="55"/>
      <c r="CB18" s="55"/>
      <c r="CC18" s="55"/>
      <c r="CD18" s="55"/>
      <c r="CE18" s="55"/>
      <c r="CF18" s="55"/>
      <c r="CG18" s="55"/>
      <c r="CH18" s="55"/>
      <c r="CI18" s="55"/>
      <c r="CJ18" s="55"/>
      <c r="CK18" s="55"/>
      <c r="CL18" s="55"/>
      <c r="CM18" s="55"/>
      <c r="CN18" s="55"/>
      <c r="CO18" s="55"/>
      <c r="CP18" s="55"/>
      <c r="CQ18" s="55"/>
      <c r="CR18" s="55"/>
      <c r="CS18" s="55"/>
      <c r="CT18" s="55"/>
      <c r="CU18" s="55"/>
      <c r="CV18" s="55"/>
      <c r="CW18" s="55"/>
      <c r="CX18" s="55"/>
      <c r="CY18" s="55"/>
      <c r="CZ18" s="55"/>
      <c r="DA18" s="55"/>
      <c r="DB18" s="55"/>
      <c r="DC18" s="55"/>
      <c r="DD18" s="55"/>
      <c r="DE18" s="55"/>
      <c r="DF18" s="55"/>
      <c r="DG18" s="55"/>
      <c r="DH18" s="55"/>
      <c r="DI18" s="55"/>
      <c r="DJ18" s="55"/>
      <c r="DK18" s="55"/>
      <c r="DL18" s="55"/>
      <c r="DM18" s="55"/>
      <c r="DN18" s="55"/>
      <c r="DO18" s="55"/>
      <c r="DP18" s="55"/>
      <c r="DQ18" s="55"/>
      <c r="DR18" s="55"/>
      <c r="DS18" s="55"/>
      <c r="DT18" s="55"/>
      <c r="DU18" s="55"/>
      <c r="DV18" s="55"/>
      <c r="DW18" s="55"/>
      <c r="DX18" s="55"/>
      <c r="DY18" s="55"/>
      <c r="DZ18" s="55"/>
      <c r="EA18" s="55"/>
      <c r="EB18" s="55"/>
      <c r="EC18" s="55"/>
      <c r="ED18" s="55"/>
      <c r="EE18" s="55"/>
      <c r="EF18" s="55"/>
      <c r="EG18" s="55"/>
      <c r="EH18" s="55"/>
      <c r="EI18" s="55"/>
      <c r="EJ18" s="55"/>
      <c r="EK18" s="55"/>
      <c r="EL18" s="55"/>
      <c r="EM18" s="55"/>
      <c r="EN18" s="55"/>
      <c r="EO18" s="55"/>
      <c r="EP18" s="55"/>
      <c r="EQ18" s="55"/>
      <c r="ER18" s="55"/>
      <c r="ES18" s="55"/>
      <c r="ET18" s="55"/>
      <c r="EU18" s="55"/>
      <c r="EV18" s="55"/>
      <c r="EW18" s="55"/>
      <c r="EX18" s="55"/>
      <c r="EY18" s="55"/>
      <c r="EZ18" s="55"/>
      <c r="FA18" s="55"/>
      <c r="FB18" s="55"/>
      <c r="FC18" s="55"/>
      <c r="FD18" s="55"/>
      <c r="FE18" s="55"/>
      <c r="FF18" s="55"/>
      <c r="FG18" s="55"/>
      <c r="FH18" s="55"/>
      <c r="FI18" s="55"/>
      <c r="FJ18" s="55"/>
      <c r="FK18" s="55"/>
      <c r="FL18" s="55"/>
      <c r="FM18" s="55"/>
      <c r="FN18" s="55"/>
      <c r="FO18" s="55"/>
      <c r="FP18" s="55"/>
      <c r="FQ18" s="55"/>
      <c r="FR18" s="55"/>
      <c r="FS18" s="55"/>
      <c r="FT18" s="55"/>
      <c r="FU18" s="55"/>
      <c r="FV18" s="55"/>
      <c r="FW18" s="55"/>
      <c r="FX18" s="55"/>
      <c r="FY18" s="55"/>
      <c r="FZ18" s="55"/>
      <c r="GA18" s="55"/>
      <c r="GB18" s="55"/>
      <c r="GC18" s="55"/>
      <c r="GD18" s="55"/>
      <c r="GE18" s="55"/>
      <c r="GF18" s="55"/>
      <c r="GG18" s="55"/>
      <c r="GH18" s="55"/>
      <c r="GI18" s="55"/>
      <c r="GJ18" s="55"/>
      <c r="GK18" s="55"/>
      <c r="GL18" s="55"/>
      <c r="GM18" s="55"/>
      <c r="GN18" s="55"/>
      <c r="GO18" s="55"/>
      <c r="GP18" s="55"/>
      <c r="GQ18" s="55"/>
      <c r="GR18" s="55"/>
      <c r="GS18" s="55"/>
      <c r="GT18" s="55"/>
      <c r="GU18" s="55"/>
      <c r="GV18" s="55"/>
      <c r="GW18" s="55"/>
      <c r="GX18" s="55"/>
      <c r="GY18" s="55"/>
      <c r="GZ18" s="55"/>
      <c r="HA18" s="55"/>
      <c r="HB18" s="55"/>
      <c r="HC18" s="55"/>
      <c r="HD18" s="55"/>
      <c r="HE18" s="55"/>
      <c r="HF18" s="55"/>
      <c r="HG18" s="55"/>
      <c r="HH18" s="55"/>
      <c r="HI18" s="55"/>
      <c r="HJ18" s="55"/>
      <c r="HK18" s="55"/>
      <c r="HL18" s="55"/>
      <c r="HM18" s="55"/>
      <c r="HN18" s="55"/>
      <c r="HO18" s="55"/>
      <c r="HP18" s="55"/>
      <c r="HQ18" s="55"/>
      <c r="HR18" s="55"/>
      <c r="HS18" s="55"/>
      <c r="HT18" s="55"/>
      <c r="HU18" s="55"/>
      <c r="HV18" s="55"/>
      <c r="HW18" s="55"/>
      <c r="HX18" s="55"/>
      <c r="HY18" s="55"/>
      <c r="HZ18" s="55"/>
      <c r="IA18" s="55"/>
      <c r="IB18" s="55"/>
      <c r="IC18" s="55"/>
      <c r="ID18" s="55"/>
      <c r="IE18" s="55"/>
      <c r="IF18" s="55"/>
      <c r="IG18" s="55"/>
      <c r="IH18" s="55"/>
      <c r="II18" s="55"/>
      <c r="IJ18" s="55"/>
      <c r="IK18" s="55"/>
      <c r="IL18" s="55"/>
      <c r="IM18" s="55"/>
      <c r="IN18" s="55"/>
      <c r="IO18" s="55"/>
      <c r="IP18" s="55"/>
      <c r="IQ18" s="55"/>
      <c r="IR18" s="55"/>
      <c r="IS18" s="55"/>
      <c r="IT18" s="55"/>
      <c r="IU18" s="55"/>
      <c r="IV18" s="55"/>
      <c r="IW18" s="55"/>
      <c r="IX18" s="55"/>
      <c r="IY18" s="55"/>
      <c r="IZ18" s="55"/>
      <c r="JA18" s="55"/>
      <c r="JB18" s="55"/>
      <c r="JC18" s="55"/>
      <c r="JD18" s="55"/>
      <c r="JE18" s="55"/>
      <c r="JF18" s="55"/>
      <c r="JG18" s="55"/>
      <c r="JH18" s="55"/>
      <c r="JI18" s="55"/>
      <c r="JJ18" s="55"/>
      <c r="JK18" s="55"/>
      <c r="JL18" s="55"/>
      <c r="JM18" s="55"/>
      <c r="JN18" s="55"/>
      <c r="JO18" s="55"/>
      <c r="JP18" s="55"/>
      <c r="JQ18" s="55"/>
      <c r="JR18" s="55"/>
      <c r="JS18" s="55"/>
      <c r="JT18" s="55"/>
      <c r="JU18" s="55"/>
      <c r="JV18" s="55"/>
      <c r="JW18" s="55"/>
      <c r="JX18" s="55"/>
      <c r="JY18" s="55"/>
      <c r="JZ18" s="55"/>
      <c r="KA18" s="55"/>
      <c r="KB18" s="55"/>
      <c r="KC18" s="55"/>
      <c r="KD18" s="55"/>
      <c r="KE18" s="55"/>
      <c r="KF18" s="55"/>
      <c r="KG18" s="55"/>
      <c r="KH18" s="55"/>
      <c r="KI18" s="55"/>
      <c r="KJ18" s="55"/>
      <c r="KK18" s="55"/>
      <c r="KL18" s="55"/>
      <c r="KM18" s="55"/>
      <c r="KN18" s="55"/>
      <c r="KO18" s="55"/>
      <c r="KP18" s="55"/>
      <c r="KQ18" s="55"/>
      <c r="KR18" s="55"/>
      <c r="KS18" s="55"/>
      <c r="KT18" s="55"/>
      <c r="KU18" s="55"/>
      <c r="KV18" s="55"/>
      <c r="KW18" s="55"/>
      <c r="KX18" s="55"/>
      <c r="KY18" s="55"/>
      <c r="KZ18" s="55"/>
      <c r="LA18" s="55"/>
      <c r="LB18" s="55"/>
      <c r="LC18" s="55"/>
      <c r="LD18" s="55"/>
      <c r="LE18" s="55"/>
      <c r="LF18" s="55"/>
      <c r="LG18" s="55"/>
      <c r="LH18" s="55"/>
      <c r="LI18" s="55"/>
      <c r="LJ18" s="55"/>
      <c r="LK18" s="55"/>
      <c r="LL18" s="55"/>
      <c r="LM18" s="55"/>
      <c r="LN18" s="55"/>
      <c r="LO18" s="55"/>
      <c r="LP18" s="55"/>
      <c r="LQ18" s="55"/>
      <c r="LR18" s="55"/>
      <c r="LS18" s="55"/>
      <c r="LT18" s="55"/>
      <c r="LU18" s="55"/>
      <c r="LV18" s="55"/>
      <c r="LW18" s="55"/>
      <c r="LX18" s="55"/>
      <c r="LY18" s="55"/>
      <c r="LZ18" s="55"/>
      <c r="MA18" s="55"/>
      <c r="MB18" s="55"/>
      <c r="MC18" s="55"/>
      <c r="MD18" s="55"/>
      <c r="ME18" s="55"/>
      <c r="MF18" s="55"/>
      <c r="MG18" s="55"/>
      <c r="MH18" s="55"/>
      <c r="MI18" s="55"/>
      <c r="MJ18" s="55"/>
      <c r="MK18" s="55"/>
      <c r="ML18" s="55"/>
      <c r="MM18" s="55"/>
      <c r="MN18" s="55"/>
      <c r="MO18" s="55"/>
      <c r="MP18" s="55"/>
      <c r="MQ18" s="55"/>
      <c r="MR18" s="55"/>
      <c r="MS18" s="55"/>
      <c r="MT18" s="55"/>
      <c r="MU18" s="55"/>
      <c r="MV18" s="55"/>
      <c r="MW18" s="55"/>
      <c r="MX18" s="55"/>
      <c r="MY18" s="55"/>
      <c r="MZ18" s="55"/>
      <c r="NA18" s="55"/>
      <c r="NB18" s="55"/>
      <c r="NC18" s="55"/>
      <c r="ND18" s="55"/>
      <c r="NE18" s="55"/>
      <c r="NF18" s="55"/>
      <c r="NG18" s="55"/>
      <c r="NH18" s="55"/>
      <c r="NI18" s="55"/>
      <c r="NJ18" s="55"/>
      <c r="NK18" s="55"/>
      <c r="NL18" s="55"/>
      <c r="NM18" s="55"/>
      <c r="NN18" s="55"/>
      <c r="NO18" s="55"/>
      <c r="NP18" s="55"/>
      <c r="NQ18" s="55"/>
      <c r="NR18" s="55"/>
      <c r="NS18" s="55"/>
      <c r="NT18" s="55"/>
      <c r="NU18" s="55"/>
      <c r="NV18" s="55"/>
      <c r="NW18" s="55"/>
      <c r="NX18" s="55"/>
      <c r="NY18" s="55"/>
      <c r="NZ18" s="55"/>
      <c r="OA18" s="55"/>
      <c r="OB18" s="55"/>
      <c r="OC18" s="55"/>
      <c r="OD18" s="55"/>
      <c r="OE18" s="55"/>
      <c r="OF18" s="55"/>
      <c r="OG18" s="55"/>
      <c r="OH18" s="55"/>
      <c r="OI18" s="55"/>
      <c r="OJ18" s="55"/>
      <c r="OK18" s="55"/>
      <c r="OL18" s="55"/>
      <c r="OM18" s="55"/>
      <c r="ON18" s="55"/>
      <c r="OO18" s="55"/>
      <c r="OP18" s="55"/>
      <c r="OQ18" s="55"/>
      <c r="OR18" s="55"/>
      <c r="OS18" s="55"/>
      <c r="OT18" s="55"/>
      <c r="OU18" s="55"/>
      <c r="OV18" s="55"/>
      <c r="OW18" s="55"/>
      <c r="OX18" s="55"/>
      <c r="OY18" s="55"/>
      <c r="OZ18" s="55"/>
      <c r="PA18" s="55"/>
      <c r="PB18" s="55"/>
      <c r="PC18" s="55"/>
      <c r="PD18" s="55"/>
      <c r="PE18" s="55"/>
      <c r="PF18" s="55"/>
      <c r="PG18" s="55"/>
      <c r="PH18" s="55"/>
      <c r="PI18" s="55"/>
      <c r="PJ18" s="55"/>
      <c r="PK18" s="55"/>
      <c r="PL18" s="55"/>
      <c r="PM18" s="55"/>
      <c r="PN18" s="55"/>
      <c r="PO18" s="55"/>
      <c r="PP18" s="55"/>
      <c r="PQ18" s="55"/>
      <c r="PR18" s="55"/>
      <c r="PS18" s="55"/>
      <c r="PT18" s="55"/>
      <c r="PU18" s="55"/>
      <c r="PV18" s="55"/>
      <c r="PW18" s="55"/>
      <c r="PX18" s="55"/>
      <c r="PY18" s="55"/>
      <c r="PZ18" s="55"/>
      <c r="QA18" s="55"/>
      <c r="QB18" s="55"/>
      <c r="QC18" s="55"/>
      <c r="QD18" s="55"/>
      <c r="QE18" s="55"/>
      <c r="QF18" s="55"/>
      <c r="QG18" s="55"/>
      <c r="QH18" s="55"/>
      <c r="QI18" s="55"/>
      <c r="QJ18" s="55"/>
      <c r="QK18" s="55"/>
      <c r="QL18" s="55"/>
      <c r="QM18" s="55"/>
      <c r="QN18" s="55"/>
      <c r="QO18" s="55"/>
      <c r="QP18" s="55"/>
      <c r="QQ18" s="55"/>
      <c r="QR18" s="55"/>
      <c r="QS18" s="55"/>
      <c r="QT18" s="55"/>
      <c r="QU18" s="55"/>
      <c r="QV18" s="55"/>
      <c r="QW18" s="55"/>
      <c r="QX18" s="55"/>
      <c r="QY18" s="55"/>
      <c r="QZ18" s="55"/>
      <c r="RA18" s="55"/>
      <c r="RB18" s="55"/>
      <c r="RC18" s="55"/>
      <c r="RD18" s="55"/>
      <c r="RE18" s="55"/>
      <c r="RF18" s="55"/>
      <c r="RG18" s="55"/>
      <c r="RH18" s="55"/>
      <c r="RI18" s="55"/>
      <c r="RJ18" s="55"/>
      <c r="RK18" s="55"/>
      <c r="RL18" s="55"/>
      <c r="RM18" s="55"/>
      <c r="RN18" s="55"/>
      <c r="RO18" s="55"/>
      <c r="RP18" s="55"/>
      <c r="RQ18" s="55"/>
      <c r="RR18" s="55"/>
      <c r="RS18" s="55"/>
      <c r="RT18" s="55"/>
      <c r="RU18" s="55"/>
      <c r="RV18" s="55"/>
      <c r="RW18" s="55"/>
      <c r="RX18" s="55"/>
      <c r="RY18" s="55"/>
      <c r="RZ18" s="55"/>
      <c r="SA18" s="55"/>
      <c r="SB18" s="55"/>
      <c r="SC18" s="55"/>
      <c r="SD18" s="55"/>
      <c r="SE18" s="55"/>
      <c r="SF18" s="55"/>
      <c r="SG18" s="55"/>
      <c r="SH18" s="55"/>
      <c r="SI18" s="55"/>
      <c r="SJ18" s="55"/>
      <c r="SK18" s="55"/>
      <c r="SL18" s="55"/>
      <c r="SM18" s="55"/>
      <c r="SN18" s="55"/>
      <c r="SO18" s="55"/>
      <c r="SP18" s="55"/>
      <c r="SQ18" s="55"/>
      <c r="SR18" s="55"/>
      <c r="SS18" s="55"/>
      <c r="ST18" s="55"/>
      <c r="SU18" s="55"/>
      <c r="SV18" s="55"/>
      <c r="SW18" s="55"/>
      <c r="SX18" s="55"/>
      <c r="SY18" s="55"/>
      <c r="SZ18" s="55"/>
      <c r="TA18" s="55"/>
      <c r="TB18" s="55"/>
      <c r="TC18" s="55"/>
      <c r="TD18" s="55"/>
      <c r="TE18" s="55"/>
      <c r="TF18" s="55"/>
      <c r="TG18" s="55"/>
      <c r="TH18" s="55"/>
      <c r="TI18" s="55"/>
      <c r="TJ18" s="55"/>
      <c r="TK18" s="55"/>
      <c r="TL18" s="55"/>
      <c r="TM18" s="55"/>
      <c r="TN18" s="55"/>
      <c r="TO18" s="55"/>
      <c r="TP18" s="55"/>
      <c r="TQ18" s="55"/>
      <c r="TR18" s="55"/>
      <c r="TS18" s="55"/>
      <c r="TT18" s="55"/>
      <c r="TU18" s="55"/>
      <c r="TV18" s="55"/>
      <c r="TW18" s="55"/>
      <c r="TX18" s="55"/>
      <c r="TY18" s="55"/>
      <c r="TZ18" s="55"/>
      <c r="UA18" s="55"/>
      <c r="UB18" s="55"/>
      <c r="UC18" s="55"/>
      <c r="UD18" s="55"/>
      <c r="UE18" s="55"/>
      <c r="UF18" s="55"/>
      <c r="UG18" s="55"/>
      <c r="UH18" s="55"/>
      <c r="UI18" s="55"/>
      <c r="UJ18" s="55"/>
      <c r="UK18" s="55"/>
      <c r="UL18" s="55"/>
      <c r="UM18" s="55"/>
      <c r="UN18" s="55"/>
      <c r="UO18" s="55"/>
      <c r="UP18" s="55"/>
      <c r="UQ18" s="55"/>
      <c r="UR18" s="55"/>
      <c r="US18" s="55"/>
      <c r="UT18" s="55"/>
      <c r="UU18" s="55"/>
      <c r="UV18" s="55"/>
      <c r="UW18" s="55"/>
      <c r="UX18" s="55"/>
      <c r="UY18" s="55"/>
      <c r="UZ18" s="55"/>
      <c r="VA18" s="55"/>
      <c r="VB18" s="55"/>
      <c r="VC18" s="55"/>
      <c r="VD18" s="55"/>
      <c r="VE18" s="55"/>
      <c r="VF18" s="55"/>
      <c r="VG18" s="55"/>
      <c r="VH18" s="55"/>
      <c r="VI18" s="55"/>
      <c r="VJ18" s="55"/>
      <c r="VK18" s="55"/>
      <c r="VL18" s="55"/>
      <c r="VM18" s="55"/>
      <c r="VN18" s="55"/>
      <c r="VO18" s="55"/>
      <c r="VP18" s="55"/>
      <c r="VQ18" s="55"/>
      <c r="VR18" s="55"/>
      <c r="VS18" s="55"/>
      <c r="VT18" s="55"/>
      <c r="VU18" s="55"/>
      <c r="VV18" s="55"/>
      <c r="VW18" s="55"/>
      <c r="VX18" s="55"/>
      <c r="VY18" s="55"/>
      <c r="VZ18" s="55"/>
      <c r="WA18" s="55"/>
      <c r="WB18" s="55"/>
      <c r="WC18" s="55"/>
      <c r="WD18" s="55"/>
      <c r="WE18" s="55"/>
      <c r="WF18" s="55"/>
      <c r="WG18" s="55"/>
      <c r="WH18" s="55"/>
      <c r="WI18" s="55"/>
      <c r="WJ18" s="55"/>
      <c r="WK18" s="55"/>
      <c r="WL18" s="55"/>
      <c r="WM18" s="55"/>
      <c r="WN18" s="55"/>
      <c r="WO18" s="55"/>
      <c r="WP18" s="55"/>
      <c r="WQ18" s="55"/>
      <c r="WR18" s="55"/>
      <c r="WS18" s="55"/>
      <c r="WT18" s="55"/>
      <c r="WU18" s="55"/>
      <c r="WV18" s="55"/>
      <c r="WW18" s="55"/>
      <c r="WX18" s="55"/>
      <c r="WY18" s="55"/>
      <c r="WZ18" s="55"/>
      <c r="XA18" s="55"/>
      <c r="XB18" s="55"/>
      <c r="XC18" s="55"/>
      <c r="XD18" s="55"/>
      <c r="XE18" s="55"/>
      <c r="XF18" s="55"/>
      <c r="XG18" s="55"/>
      <c r="XH18" s="55"/>
      <c r="XI18" s="55"/>
      <c r="XJ18" s="55"/>
      <c r="XK18" s="55"/>
      <c r="XL18" s="55"/>
      <c r="XM18" s="55"/>
      <c r="XN18" s="55"/>
      <c r="XO18" s="55"/>
      <c r="XP18" s="55"/>
      <c r="XQ18" s="55"/>
      <c r="XR18" s="55"/>
      <c r="XS18" s="55"/>
      <c r="XT18" s="55"/>
      <c r="XU18" s="55"/>
      <c r="XV18" s="55"/>
      <c r="XW18" s="55"/>
      <c r="XX18" s="55"/>
      <c r="XY18" s="55"/>
      <c r="XZ18" s="55"/>
      <c r="YA18" s="55"/>
      <c r="YB18" s="55"/>
      <c r="YC18" s="55"/>
      <c r="YD18" s="55"/>
      <c r="YE18" s="55"/>
      <c r="YF18" s="55"/>
      <c r="YG18" s="55"/>
      <c r="YH18" s="55"/>
      <c r="YI18" s="55"/>
      <c r="YJ18" s="55"/>
      <c r="YK18" s="55"/>
      <c r="YL18" s="55"/>
      <c r="YM18" s="55"/>
      <c r="YN18" s="55"/>
      <c r="YO18" s="55"/>
      <c r="YP18" s="55"/>
      <c r="YQ18" s="55"/>
      <c r="YR18" s="55"/>
      <c r="YS18" s="55"/>
      <c r="YT18" s="55"/>
      <c r="YU18" s="55"/>
      <c r="YV18" s="55"/>
      <c r="YW18" s="55"/>
      <c r="YX18" s="55"/>
      <c r="YY18" s="55"/>
      <c r="YZ18" s="55"/>
      <c r="ZA18" s="55"/>
      <c r="ZB18" s="55"/>
      <c r="ZC18" s="55"/>
      <c r="ZD18" s="55"/>
      <c r="ZE18" s="55"/>
      <c r="ZF18" s="55"/>
      <c r="ZG18" s="55"/>
      <c r="ZH18" s="55"/>
      <c r="ZI18" s="55"/>
      <c r="ZJ18" s="55"/>
      <c r="ZK18" s="55"/>
      <c r="ZL18" s="55"/>
      <c r="ZM18" s="55"/>
      <c r="ZN18" s="55"/>
      <c r="ZO18" s="55"/>
      <c r="ZP18" s="55"/>
      <c r="ZQ18" s="55"/>
      <c r="ZR18" s="55"/>
      <c r="ZS18" s="55"/>
      <c r="ZT18" s="55"/>
      <c r="ZU18" s="55"/>
      <c r="ZV18" s="55"/>
      <c r="ZW18" s="55"/>
      <c r="ZX18" s="55"/>
      <c r="ZY18" s="55"/>
      <c r="ZZ18" s="55"/>
      <c r="AAA18" s="55"/>
      <c r="AAB18" s="55"/>
      <c r="AAC18" s="55"/>
      <c r="AAD18" s="55"/>
      <c r="AAE18" s="55"/>
      <c r="AAF18" s="55"/>
      <c r="AAG18" s="55"/>
      <c r="AAH18" s="55"/>
      <c r="AAI18" s="55"/>
      <c r="AAJ18" s="55"/>
      <c r="AAK18" s="55"/>
      <c r="AAL18" s="55"/>
      <c r="AAM18" s="55"/>
      <c r="AAN18" s="55"/>
      <c r="AAO18" s="55"/>
      <c r="AAP18" s="55"/>
      <c r="AAQ18" s="55"/>
      <c r="AAR18" s="55"/>
      <c r="AAS18" s="55"/>
      <c r="AAT18" s="55"/>
      <c r="AAU18" s="55"/>
      <c r="AAV18" s="55"/>
      <c r="AAW18" s="55"/>
      <c r="AAX18" s="55"/>
      <c r="AAY18" s="55"/>
      <c r="AAZ18" s="55"/>
      <c r="ABA18" s="55"/>
      <c r="ABB18" s="55"/>
      <c r="ABC18" s="55"/>
      <c r="ABD18" s="55"/>
      <c r="ABE18" s="55"/>
      <c r="ABF18" s="55"/>
      <c r="ABG18" s="55"/>
      <c r="ABH18" s="55"/>
      <c r="ABI18" s="55"/>
      <c r="ABJ18" s="55"/>
      <c r="ABK18" s="55"/>
      <c r="ABL18" s="55"/>
      <c r="ABM18" s="55"/>
      <c r="ABN18" s="55"/>
      <c r="ABO18" s="55"/>
      <c r="ABP18" s="55"/>
      <c r="ABQ18" s="55"/>
      <c r="ABR18" s="55"/>
      <c r="ABS18" s="55"/>
      <c r="ABT18" s="55"/>
      <c r="ABU18" s="55"/>
      <c r="ABV18" s="55"/>
      <c r="ABW18" s="55"/>
      <c r="ABX18" s="55"/>
      <c r="ABY18" s="55"/>
      <c r="ABZ18" s="55"/>
      <c r="ACA18" s="55"/>
      <c r="ACB18" s="55"/>
      <c r="ACC18" s="55"/>
      <c r="ACD18" s="55"/>
      <c r="ACE18" s="55"/>
      <c r="ACF18" s="55"/>
      <c r="ACG18" s="55"/>
      <c r="ACH18" s="55"/>
      <c r="ACI18" s="55"/>
      <c r="ACJ18" s="55"/>
      <c r="ACK18" s="55"/>
      <c r="ACL18" s="55"/>
      <c r="ACM18" s="55"/>
      <c r="ACN18" s="55"/>
      <c r="ACO18" s="55"/>
      <c r="ACP18" s="55"/>
      <c r="ACQ18" s="55"/>
      <c r="ACR18" s="55"/>
      <c r="ACS18" s="55"/>
      <c r="ACT18" s="55"/>
      <c r="ACU18" s="55"/>
      <c r="ACV18" s="55"/>
      <c r="ACW18" s="55"/>
      <c r="ACX18" s="55"/>
      <c r="ACY18" s="55"/>
      <c r="ACZ18" s="55"/>
      <c r="ADA18" s="55"/>
      <c r="ADB18" s="55"/>
      <c r="ADC18" s="55"/>
      <c r="ADD18" s="55"/>
      <c r="ADE18" s="55"/>
      <c r="ADF18" s="55"/>
      <c r="ADG18" s="55"/>
      <c r="ADH18" s="55"/>
      <c r="ADI18" s="55"/>
      <c r="ADJ18" s="55"/>
      <c r="ADK18" s="55"/>
      <c r="ADL18" s="55"/>
      <c r="ADM18" s="55"/>
      <c r="ADN18" s="55"/>
      <c r="ADO18" s="55"/>
      <c r="ADP18" s="55"/>
      <c r="ADQ18" s="55"/>
      <c r="ADR18" s="55"/>
      <c r="ADS18" s="55"/>
      <c r="ADT18" s="55"/>
      <c r="ADU18" s="55"/>
      <c r="ADV18" s="55"/>
      <c r="ADW18" s="55"/>
      <c r="ADX18" s="55"/>
      <c r="ADY18" s="55"/>
      <c r="ADZ18" s="55"/>
      <c r="AEA18" s="55"/>
      <c r="AEB18" s="55"/>
      <c r="AEC18" s="55"/>
      <c r="AED18" s="55"/>
      <c r="AEE18" s="55"/>
      <c r="AEF18" s="55"/>
      <c r="AEG18" s="55"/>
      <c r="AEH18" s="55"/>
      <c r="AEI18" s="55"/>
      <c r="AEJ18" s="55"/>
      <c r="AEK18" s="55"/>
      <c r="AEL18" s="55"/>
      <c r="AEM18" s="55"/>
      <c r="AEN18" s="55"/>
      <c r="AEO18" s="55"/>
      <c r="AEP18" s="55"/>
      <c r="AEQ18" s="55"/>
      <c r="AER18" s="55"/>
      <c r="AES18" s="55"/>
      <c r="AET18" s="55"/>
      <c r="AEU18" s="55"/>
      <c r="AEV18" s="55"/>
      <c r="AEW18" s="55"/>
      <c r="AEX18" s="55"/>
      <c r="AEY18" s="55"/>
      <c r="AEZ18" s="55"/>
      <c r="AFA18" s="55"/>
      <c r="AFB18" s="55"/>
      <c r="AFC18" s="55"/>
      <c r="AFD18" s="55"/>
      <c r="AFE18" s="55"/>
      <c r="AFF18" s="55"/>
      <c r="AFG18" s="55"/>
      <c r="AFH18" s="55"/>
      <c r="AFI18" s="55"/>
      <c r="AFJ18" s="55"/>
      <c r="AFK18" s="55"/>
      <c r="AFL18" s="55"/>
      <c r="AFM18" s="55"/>
      <c r="AFN18" s="55"/>
      <c r="AFO18" s="55"/>
      <c r="AFP18" s="55"/>
      <c r="AFQ18" s="55"/>
      <c r="AFR18" s="55"/>
      <c r="AFS18" s="55"/>
      <c r="AFT18" s="55"/>
      <c r="AFU18" s="55"/>
      <c r="AFV18" s="55"/>
      <c r="AFW18" s="55"/>
      <c r="AFX18" s="55"/>
      <c r="AFY18" s="55"/>
      <c r="AFZ18" s="55"/>
      <c r="AGA18" s="55"/>
      <c r="AGB18" s="55"/>
      <c r="AGC18" s="55"/>
      <c r="AGD18" s="55"/>
      <c r="AGE18" s="55"/>
      <c r="AGF18" s="55"/>
      <c r="AGG18" s="55"/>
      <c r="AGH18" s="55"/>
      <c r="AGI18" s="55"/>
      <c r="AGJ18" s="55"/>
      <c r="AGK18" s="55"/>
      <c r="AGL18" s="55"/>
      <c r="AGM18" s="55"/>
      <c r="AGN18" s="55"/>
      <c r="AGO18" s="55"/>
      <c r="AGP18" s="55"/>
      <c r="AGQ18" s="55"/>
      <c r="AGR18" s="55"/>
      <c r="AGS18" s="55"/>
      <c r="AGT18" s="55"/>
      <c r="AGU18" s="55"/>
      <c r="AGV18" s="55"/>
      <c r="AGW18" s="55"/>
      <c r="AGX18" s="55"/>
      <c r="AGY18" s="55"/>
      <c r="AGZ18" s="55"/>
      <c r="AHA18" s="55"/>
      <c r="AHB18" s="55"/>
      <c r="AHC18" s="55"/>
      <c r="AHD18" s="55"/>
      <c r="AHE18" s="55"/>
      <c r="AHF18" s="55"/>
      <c r="AHG18" s="55"/>
      <c r="AHH18" s="55"/>
      <c r="AHI18" s="55"/>
      <c r="AHJ18" s="55"/>
      <c r="AHK18" s="55"/>
      <c r="AHL18" s="55"/>
      <c r="AHM18" s="55"/>
      <c r="AHN18" s="55"/>
      <c r="AHO18" s="55"/>
      <c r="AHP18" s="55"/>
      <c r="AHQ18" s="55"/>
      <c r="AHR18" s="55"/>
      <c r="AHS18" s="55"/>
      <c r="AHT18" s="55"/>
      <c r="AHU18" s="55"/>
      <c r="AHV18" s="55"/>
      <c r="AHW18" s="55"/>
      <c r="AHX18" s="55"/>
      <c r="AHY18" s="55"/>
      <c r="AHZ18" s="55"/>
      <c r="AIA18" s="55"/>
      <c r="AIB18" s="55"/>
      <c r="AIC18" s="55"/>
      <c r="AID18" s="55"/>
      <c r="AIE18" s="55"/>
      <c r="AIF18" s="55"/>
      <c r="AIG18" s="55"/>
      <c r="AIH18" s="55"/>
      <c r="AII18" s="55"/>
      <c r="AIJ18" s="55"/>
      <c r="AIK18" s="55"/>
      <c r="AIL18" s="55"/>
      <c r="AIM18" s="55"/>
      <c r="AIN18" s="55"/>
      <c r="AIO18" s="55"/>
      <c r="AIP18" s="55"/>
      <c r="AIQ18" s="55"/>
      <c r="AIR18" s="55"/>
      <c r="AIS18" s="55"/>
      <c r="AIT18" s="55"/>
      <c r="AIU18" s="55"/>
      <c r="AIV18" s="55"/>
      <c r="AIW18" s="55"/>
      <c r="AIX18" s="55"/>
      <c r="AIY18" s="55"/>
      <c r="AIZ18" s="55"/>
      <c r="AJA18" s="55"/>
      <c r="AJB18" s="55"/>
      <c r="AJC18" s="55"/>
      <c r="AJD18" s="55"/>
      <c r="AJE18" s="55"/>
      <c r="AJF18" s="55"/>
      <c r="AJG18" s="55"/>
      <c r="AJH18" s="55"/>
      <c r="AJI18" s="55"/>
      <c r="AJJ18" s="55"/>
      <c r="AJK18" s="55"/>
      <c r="AJL18" s="55"/>
      <c r="AJM18" s="55"/>
      <c r="AJN18" s="55"/>
      <c r="AJO18" s="55"/>
      <c r="AJP18" s="55"/>
      <c r="AJQ18" s="55"/>
      <c r="AJR18" s="55"/>
      <c r="AJS18" s="55"/>
      <c r="AJT18" s="55"/>
      <c r="AJU18" s="55"/>
      <c r="AJV18" s="55"/>
      <c r="AJW18" s="55"/>
      <c r="AJX18" s="55"/>
      <c r="AJY18" s="55"/>
      <c r="AJZ18" s="55"/>
      <c r="AKA18" s="55"/>
      <c r="AKB18" s="55"/>
      <c r="AKC18" s="55"/>
      <c r="AKD18" s="55"/>
      <c r="AKE18" s="55"/>
      <c r="AKF18" s="55"/>
      <c r="AKG18" s="55"/>
      <c r="AKH18" s="55"/>
      <c r="AKI18" s="55"/>
      <c r="AKJ18" s="55"/>
      <c r="AKK18" s="55"/>
      <c r="AKL18" s="55"/>
      <c r="AKM18" s="55"/>
      <c r="AKN18" s="55"/>
      <c r="AKO18" s="55"/>
      <c r="AKP18" s="55"/>
      <c r="AKQ18" s="55"/>
      <c r="AKR18" s="55"/>
      <c r="AKS18" s="55"/>
      <c r="AKT18" s="55"/>
      <c r="AKU18" s="55"/>
      <c r="AKV18" s="55"/>
      <c r="AKW18" s="55"/>
      <c r="AKX18" s="55"/>
      <c r="AKY18" s="55"/>
      <c r="AKZ18" s="55"/>
      <c r="ALA18" s="55"/>
      <c r="ALB18" s="55"/>
      <c r="ALC18" s="55"/>
      <c r="ALD18" s="55"/>
      <c r="ALE18" s="55"/>
      <c r="ALF18" s="55"/>
      <c r="ALG18" s="55"/>
      <c r="ALH18" s="55"/>
      <c r="ALI18" s="55"/>
      <c r="ALJ18" s="55"/>
      <c r="ALK18" s="55"/>
      <c r="ALL18" s="55"/>
      <c r="ALM18" s="55"/>
      <c r="ALN18" s="55"/>
      <c r="ALO18" s="55"/>
      <c r="ALP18" s="55"/>
      <c r="ALQ18" s="55"/>
      <c r="ALR18" s="55"/>
      <c r="ALS18" s="55"/>
      <c r="ALT18" s="55"/>
      <c r="ALU18" s="55"/>
      <c r="ALV18" s="55"/>
      <c r="ALW18" s="55"/>
      <c r="ALX18" s="55"/>
    </row>
    <row r="19" customFormat="false" ht="18" hidden="false" customHeight="true" outlineLevel="0" collapsed="false">
      <c r="H19" s="80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56"/>
      <c r="AE19" s="56"/>
      <c r="AF19" s="56"/>
      <c r="AG19" s="56"/>
    </row>
    <row r="20" customFormat="false" ht="39.75" hidden="false" customHeight="true" outlineLevel="0" collapsed="false">
      <c r="B20" s="47" t="s">
        <v>30</v>
      </c>
      <c r="C20" s="82" t="s">
        <v>99</v>
      </c>
      <c r="D20" s="82" t="s">
        <v>100</v>
      </c>
      <c r="E20" s="82" t="s">
        <v>101</v>
      </c>
      <c r="R20" s="83"/>
      <c r="Z20" s="83"/>
      <c r="AA20" s="83"/>
      <c r="AB20" s="83"/>
      <c r="AC20" s="83"/>
    </row>
    <row r="21" customFormat="false" ht="18" hidden="false" customHeight="true" outlineLevel="0" collapsed="false">
      <c r="B21" s="47"/>
      <c r="C21" s="24" t="n">
        <f aca="false">'Comp. Oficial de Manutenção'!D11</f>
        <v>32.38</v>
      </c>
      <c r="D21" s="24" t="n">
        <v>24.12</v>
      </c>
      <c r="E21" s="24" t="n">
        <v>41.09</v>
      </c>
    </row>
    <row r="22" customFormat="false" ht="28.5" hidden="false" customHeight="true" outlineLevel="0" collapsed="false">
      <c r="B22" s="51" t="s">
        <v>37</v>
      </c>
    </row>
    <row r="23" customFormat="false" ht="23.25" hidden="false" customHeight="true" outlineLevel="0" collapsed="false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18:AJ18"/>
    <mergeCell ref="B20:B21"/>
  </mergeCells>
  <printOptions headings="false" gridLines="false" gridLinesSet="true" horizontalCentered="true" verticalCentered="true"/>
  <pageMargins left="0.0784722222222222" right="0.038194444444444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S31"/>
  <sheetViews>
    <sheetView showFormulas="false" showGridLines="false" showRowColHeaders="true" showZeros="true" rightToLeft="false" tabSelected="false" showOutlineSymbols="true" defaultGridColor="true" view="normal" topLeftCell="E1" colorId="64" zoomScale="90" zoomScaleNormal="90" zoomScalePageLayoutView="100" workbookViewId="0">
      <selection pane="topLeft" activeCell="R5" activeCellId="0" sqref="R5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4" width="12.62"/>
    <col collapsed="false" customWidth="true" hidden="false" outlineLevel="0" max="3" min="3" style="84" width="32.62"/>
    <col collapsed="false" customWidth="true" hidden="false" outlineLevel="0" max="13" min="4" style="84" width="9.62"/>
    <col collapsed="false" customWidth="true" hidden="false" outlineLevel="0" max="15" min="14" style="85" width="9.62"/>
    <col collapsed="false" customWidth="true" hidden="false" outlineLevel="0" max="17" min="16" style="84" width="9.62"/>
    <col collapsed="false" customWidth="true" hidden="false" outlineLevel="0" max="260" min="18" style="84" width="8.62"/>
    <col collapsed="false" customWidth="true" hidden="false" outlineLevel="0" max="1026" min="261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" t="str">
        <f aca="false">"DESLOCAMENTO BASE "&amp;Resumo!B5</f>
        <v>DESLOCAMENTO BASE BLUMENAU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customFormat="false" ht="15" hidden="false" customHeight="true" outlineLevel="0" collapsed="false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</row>
    <row r="4" customFormat="false" ht="37.5" hidden="false" customHeight="true" outlineLevel="0" collapsed="false">
      <c r="B4" s="21" t="s">
        <v>102</v>
      </c>
      <c r="C4" s="21" t="str">
        <f aca="false">"Rota (saída e retorno "&amp;Resumo!B5&amp;")"</f>
        <v>Rota (saída e retorno BLUMENAU)</v>
      </c>
      <c r="D4" s="21" t="s">
        <v>103</v>
      </c>
      <c r="E4" s="21" t="s">
        <v>104</v>
      </c>
      <c r="F4" s="21" t="s">
        <v>105</v>
      </c>
      <c r="G4" s="21" t="s">
        <v>106</v>
      </c>
      <c r="H4" s="21" t="s">
        <v>107</v>
      </c>
      <c r="I4" s="21" t="s">
        <v>108</v>
      </c>
      <c r="J4" s="21" t="s">
        <v>109</v>
      </c>
      <c r="K4" s="21" t="s">
        <v>110</v>
      </c>
      <c r="L4" s="21" t="s">
        <v>111</v>
      </c>
      <c r="M4" s="87" t="s">
        <v>112</v>
      </c>
      <c r="N4" s="21" t="s">
        <v>113</v>
      </c>
      <c r="O4" s="87" t="s">
        <v>114</v>
      </c>
      <c r="P4" s="21" t="s">
        <v>115</v>
      </c>
      <c r="Q4" s="87" t="s">
        <v>67</v>
      </c>
      <c r="R4" s="32" t="s">
        <v>116</v>
      </c>
      <c r="S4" s="32" t="s">
        <v>117</v>
      </c>
    </row>
    <row r="5" customFormat="false" ht="15.75" hidden="false" customHeight="true" outlineLevel="0" collapsed="false">
      <c r="B5" s="50" t="n">
        <v>1</v>
      </c>
      <c r="C5" s="88" t="s">
        <v>97</v>
      </c>
      <c r="D5" s="89" t="n">
        <v>1.7</v>
      </c>
      <c r="E5" s="89" t="n">
        <v>1.3</v>
      </c>
      <c r="F5" s="89" t="n">
        <v>0</v>
      </c>
      <c r="G5" s="90" t="n">
        <f aca="false">SUM(D5:F5)</f>
        <v>3</v>
      </c>
      <c r="H5" s="91" t="n">
        <v>4</v>
      </c>
      <c r="I5" s="91" t="n">
        <v>4</v>
      </c>
      <c r="J5" s="91" t="n">
        <v>0</v>
      </c>
      <c r="K5" s="92" t="n">
        <f aca="false">SUM(H5:J5)</f>
        <v>8</v>
      </c>
      <c r="L5" s="93" t="n">
        <f aca="false">K5/60</f>
        <v>0.133333333333333</v>
      </c>
      <c r="M5" s="94" t="n">
        <v>0</v>
      </c>
      <c r="N5" s="95" t="n">
        <v>2</v>
      </c>
      <c r="O5" s="96" t="n">
        <f aca="false">L5/N5</f>
        <v>0.0666666666666667</v>
      </c>
      <c r="P5" s="97" t="n">
        <f aca="false">M5/N5</f>
        <v>0</v>
      </c>
      <c r="Q5" s="98" t="n">
        <v>0</v>
      </c>
      <c r="R5" s="99" t="str">
        <f aca="false">INDEX('Base Blumenau'!$K$7:$K$25,MATCH(C5,'Base Blumenau'!$B$7:$B$25,0))</f>
        <v>NÃO</v>
      </c>
      <c r="S5" s="100" t="n">
        <v>0</v>
      </c>
    </row>
    <row r="6" customFormat="false" ht="15.75" hidden="false" customHeight="true" outlineLevel="0" collapsed="false">
      <c r="B6" s="50"/>
      <c r="C6" s="88" t="s">
        <v>96</v>
      </c>
      <c r="D6" s="89"/>
      <c r="E6" s="89"/>
      <c r="F6" s="89"/>
      <c r="G6" s="90"/>
      <c r="H6" s="91"/>
      <c r="I6" s="91"/>
      <c r="J6" s="91"/>
      <c r="K6" s="92"/>
      <c r="L6" s="93"/>
      <c r="M6" s="94"/>
      <c r="N6" s="95"/>
      <c r="O6" s="101" t="n">
        <f aca="false">O5</f>
        <v>0.0666666666666667</v>
      </c>
      <c r="P6" s="102" t="n">
        <f aca="false">P5</f>
        <v>0</v>
      </c>
      <c r="Q6" s="103" t="n">
        <v>0</v>
      </c>
      <c r="R6" s="99" t="str">
        <f aca="false">INDEX('Base Blumenau'!$K$7:$K$25,MATCH(C6,'Base Blumenau'!$B$7:$B$25,0))</f>
        <v>NÃO</v>
      </c>
      <c r="S6" s="100" t="n">
        <v>0</v>
      </c>
    </row>
    <row r="7" customFormat="false" ht="15.75" hidden="false" customHeight="true" outlineLevel="0" collapsed="false">
      <c r="B7" s="50" t="n">
        <v>2</v>
      </c>
      <c r="C7" s="88" t="s">
        <v>85</v>
      </c>
      <c r="D7" s="89" t="n">
        <v>75.8</v>
      </c>
      <c r="E7" s="89" t="n">
        <v>27.9</v>
      </c>
      <c r="F7" s="89" t="n">
        <v>95.4</v>
      </c>
      <c r="G7" s="90" t="n">
        <f aca="false">SUM(D7:F7)</f>
        <v>199.1</v>
      </c>
      <c r="H7" s="91" t="n">
        <v>71</v>
      </c>
      <c r="I7" s="91" t="n">
        <v>30</v>
      </c>
      <c r="J7" s="91" t="n">
        <v>102</v>
      </c>
      <c r="K7" s="92" t="n">
        <f aca="false">SUM(H7:J7)</f>
        <v>203</v>
      </c>
      <c r="L7" s="93" t="n">
        <f aca="false">K7/60</f>
        <v>3.38333333333333</v>
      </c>
      <c r="M7" s="94" t="n">
        <v>0</v>
      </c>
      <c r="N7" s="104" t="n">
        <v>2</v>
      </c>
      <c r="O7" s="105" t="n">
        <f aca="false">L7/N7</f>
        <v>1.69166666666667</v>
      </c>
      <c r="P7" s="106" t="n">
        <f aca="false">M7/N7</f>
        <v>0</v>
      </c>
      <c r="Q7" s="98" t="n">
        <v>0</v>
      </c>
      <c r="R7" s="99" t="str">
        <f aca="false">INDEX('Base Blumenau'!$K$7:$K$25,MATCH(C7,'Base Blumenau'!$B$7:$B$25,0))</f>
        <v>SIM</v>
      </c>
      <c r="S7" s="100" t="n">
        <v>1</v>
      </c>
    </row>
    <row r="8" customFormat="false" ht="15.75" hidden="false" customHeight="true" outlineLevel="0" collapsed="false">
      <c r="B8" s="50"/>
      <c r="C8" s="88" t="s">
        <v>92</v>
      </c>
      <c r="D8" s="89"/>
      <c r="E8" s="89"/>
      <c r="F8" s="89"/>
      <c r="G8" s="90"/>
      <c r="H8" s="91"/>
      <c r="I8" s="91"/>
      <c r="J8" s="91"/>
      <c r="K8" s="92"/>
      <c r="L8" s="93"/>
      <c r="M8" s="94"/>
      <c r="N8" s="104"/>
      <c r="O8" s="101" t="n">
        <f aca="false">O7</f>
        <v>1.69166666666667</v>
      </c>
      <c r="P8" s="107" t="n">
        <f aca="false">P7</f>
        <v>0</v>
      </c>
      <c r="Q8" s="108" t="n">
        <v>0</v>
      </c>
      <c r="R8" s="99" t="str">
        <f aca="false">INDEX('Base Blumenau'!$K$7:$K$25,MATCH(C8,'Base Blumenau'!$B$7:$B$25,0))</f>
        <v>SIM</v>
      </c>
      <c r="S8" s="100" t="n">
        <v>1</v>
      </c>
    </row>
    <row r="9" customFormat="false" ht="15.75" hidden="false" customHeight="true" outlineLevel="0" collapsed="false">
      <c r="B9" s="50" t="n">
        <v>3</v>
      </c>
      <c r="C9" s="88" t="s">
        <v>81</v>
      </c>
      <c r="D9" s="89" t="n">
        <v>68.1</v>
      </c>
      <c r="E9" s="89" t="n">
        <v>41.8</v>
      </c>
      <c r="F9" s="89" t="n">
        <v>40.8</v>
      </c>
      <c r="G9" s="90" t="n">
        <f aca="false">SUM(D9:F9)</f>
        <v>150.7</v>
      </c>
      <c r="H9" s="89" t="n">
        <v>58</v>
      </c>
      <c r="I9" s="89" t="n">
        <v>41</v>
      </c>
      <c r="J9" s="89" t="n">
        <v>52</v>
      </c>
      <c r="K9" s="90" t="n">
        <f aca="false">SUM(H9:J9)</f>
        <v>151</v>
      </c>
      <c r="L9" s="93" t="n">
        <f aca="false">K9/60</f>
        <v>2.51666666666667</v>
      </c>
      <c r="M9" s="94" t="n">
        <v>0</v>
      </c>
      <c r="N9" s="104" t="n">
        <v>2</v>
      </c>
      <c r="O9" s="96" t="n">
        <f aca="false">L9/N9</f>
        <v>1.25833333333333</v>
      </c>
      <c r="P9" s="98" t="n">
        <f aca="false">M9/N9</f>
        <v>0</v>
      </c>
      <c r="Q9" s="103" t="n">
        <v>0</v>
      </c>
      <c r="R9" s="99" t="str">
        <f aca="false">INDEX('Base Blumenau'!$K$7:$K$25,MATCH(C9,'Base Blumenau'!$B$7:$B$25,0))</f>
        <v>NÃO</v>
      </c>
      <c r="S9" s="100" t="n">
        <v>0</v>
      </c>
    </row>
    <row r="10" customFormat="false" ht="15.75" hidden="false" customHeight="true" outlineLevel="0" collapsed="false">
      <c r="B10" s="50"/>
      <c r="C10" s="88" t="s">
        <v>83</v>
      </c>
      <c r="D10" s="89"/>
      <c r="E10" s="89"/>
      <c r="F10" s="89"/>
      <c r="G10" s="90"/>
      <c r="H10" s="89"/>
      <c r="I10" s="89"/>
      <c r="J10" s="89"/>
      <c r="K10" s="90"/>
      <c r="L10" s="93"/>
      <c r="M10" s="94"/>
      <c r="N10" s="104"/>
      <c r="O10" s="101" t="n">
        <f aca="false">O9</f>
        <v>1.25833333333333</v>
      </c>
      <c r="P10" s="108" t="n">
        <f aca="false">P9</f>
        <v>0</v>
      </c>
      <c r="Q10" s="108" t="n">
        <v>0</v>
      </c>
      <c r="R10" s="99" t="str">
        <f aca="false">INDEX('Base Blumenau'!$K$7:$K$25,MATCH(C10,'Base Blumenau'!$B$7:$B$25,0))</f>
        <v>NÃO</v>
      </c>
      <c r="S10" s="100" t="n">
        <v>0</v>
      </c>
    </row>
    <row r="11" customFormat="false" ht="15.75" hidden="false" customHeight="true" outlineLevel="0" collapsed="false">
      <c r="B11" s="50" t="n">
        <v>4</v>
      </c>
      <c r="C11" s="88" t="s">
        <v>87</v>
      </c>
      <c r="D11" s="89" t="n">
        <v>60.3</v>
      </c>
      <c r="E11" s="89" t="n">
        <v>26.8</v>
      </c>
      <c r="F11" s="89" t="n">
        <v>61.9</v>
      </c>
      <c r="G11" s="90" t="n">
        <f aca="false">SUM(D11:F11)</f>
        <v>149</v>
      </c>
      <c r="H11" s="89" t="n">
        <v>59</v>
      </c>
      <c r="I11" s="89" t="n">
        <v>31</v>
      </c>
      <c r="J11" s="89" t="n">
        <v>53</v>
      </c>
      <c r="K11" s="90" t="n">
        <f aca="false">SUM(H11:J11)</f>
        <v>143</v>
      </c>
      <c r="L11" s="93" t="n">
        <f aca="false">K11/60</f>
        <v>2.38333333333333</v>
      </c>
      <c r="M11" s="94" t="n">
        <v>0</v>
      </c>
      <c r="N11" s="104" t="n">
        <v>2</v>
      </c>
      <c r="O11" s="96" t="n">
        <f aca="false">L11/N11</f>
        <v>1.19166666666667</v>
      </c>
      <c r="P11" s="98" t="n">
        <f aca="false">M11/N11</f>
        <v>0</v>
      </c>
      <c r="Q11" s="98" t="n">
        <v>0</v>
      </c>
      <c r="R11" s="99" t="str">
        <f aca="false">INDEX('Base Blumenau'!$K$7:$K$25,MATCH(C11,'Base Blumenau'!$B$7:$B$25,0))</f>
        <v>SIM</v>
      </c>
      <c r="S11" s="100" t="n">
        <v>1</v>
      </c>
    </row>
    <row r="12" customFormat="false" ht="15.75" hidden="false" customHeight="true" outlineLevel="0" collapsed="false">
      <c r="B12" s="50"/>
      <c r="C12" s="88" t="s">
        <v>89</v>
      </c>
      <c r="D12" s="89"/>
      <c r="E12" s="89"/>
      <c r="F12" s="89"/>
      <c r="G12" s="90"/>
      <c r="H12" s="89"/>
      <c r="I12" s="89"/>
      <c r="J12" s="89"/>
      <c r="K12" s="90"/>
      <c r="L12" s="93"/>
      <c r="M12" s="94" t="n">
        <v>0</v>
      </c>
      <c r="N12" s="104"/>
      <c r="O12" s="101" t="n">
        <f aca="false">O11</f>
        <v>1.19166666666667</v>
      </c>
      <c r="P12" s="108" t="n">
        <f aca="false">P11</f>
        <v>0</v>
      </c>
      <c r="Q12" s="108" t="n">
        <v>0</v>
      </c>
      <c r="R12" s="99" t="str">
        <f aca="false">INDEX('Base Blumenau'!$K$7:$K$25,MATCH(C12,'Base Blumenau'!$B$7:$B$25,0))</f>
        <v>NÃO</v>
      </c>
      <c r="S12" s="100" t="n">
        <v>1</v>
      </c>
    </row>
    <row r="13" customFormat="false" ht="13.8" hidden="false" customHeight="false" outlineLevel="0" collapsed="false">
      <c r="B13" s="50" t="n">
        <v>5</v>
      </c>
      <c r="C13" s="88" t="s">
        <v>86</v>
      </c>
      <c r="D13" s="89" t="n">
        <v>24.8</v>
      </c>
      <c r="E13" s="89" t="n">
        <v>11.1</v>
      </c>
      <c r="F13" s="89" t="n">
        <v>29.1</v>
      </c>
      <c r="G13" s="90" t="n">
        <f aca="false">SUM(D13:F13)</f>
        <v>65</v>
      </c>
      <c r="H13" s="89" t="n">
        <v>33</v>
      </c>
      <c r="I13" s="89" t="n">
        <v>15</v>
      </c>
      <c r="J13" s="89" t="n">
        <v>37</v>
      </c>
      <c r="K13" s="90" t="n">
        <f aca="false">SUM(H13:J13)</f>
        <v>85</v>
      </c>
      <c r="L13" s="93" t="n">
        <f aca="false">K13/60</f>
        <v>1.41666666666667</v>
      </c>
      <c r="M13" s="94" t="n">
        <v>0</v>
      </c>
      <c r="N13" s="104" t="n">
        <v>2</v>
      </c>
      <c r="O13" s="96" t="n">
        <f aca="false">L13/N13</f>
        <v>0.708333333333333</v>
      </c>
      <c r="P13" s="98" t="n">
        <f aca="false">M13/N13</f>
        <v>0</v>
      </c>
      <c r="Q13" s="98" t="n">
        <v>0</v>
      </c>
      <c r="R13" s="99" t="str">
        <f aca="false">INDEX('Base Blumenau'!$K$7:$K$25,MATCH(C13,'Base Blumenau'!$B$7:$B$25,0))</f>
        <v>NÃO</v>
      </c>
      <c r="S13" s="100" t="n">
        <v>0</v>
      </c>
    </row>
    <row r="14" customFormat="false" ht="15.75" hidden="false" customHeight="true" outlineLevel="0" collapsed="false">
      <c r="B14" s="50"/>
      <c r="C14" s="88" t="s">
        <v>94</v>
      </c>
      <c r="D14" s="89"/>
      <c r="E14" s="89"/>
      <c r="F14" s="89"/>
      <c r="G14" s="90"/>
      <c r="H14" s="89"/>
      <c r="I14" s="89"/>
      <c r="J14" s="89"/>
      <c r="K14" s="90"/>
      <c r="L14" s="93"/>
      <c r="M14" s="94"/>
      <c r="N14" s="104"/>
      <c r="O14" s="101" t="n">
        <f aca="false">O13</f>
        <v>0.708333333333333</v>
      </c>
      <c r="P14" s="108" t="n">
        <f aca="false">P13</f>
        <v>0</v>
      </c>
      <c r="Q14" s="108" t="n">
        <v>0</v>
      </c>
      <c r="R14" s="99" t="str">
        <f aca="false">INDEX('Base Blumenau'!$K$7:$K$25,MATCH(C14,'Base Blumenau'!$B$7:$B$25,0))</f>
        <v>NÃO</v>
      </c>
      <c r="S14" s="100" t="n">
        <v>0</v>
      </c>
    </row>
    <row r="15" customFormat="false" ht="15.75" hidden="false" customHeight="true" outlineLevel="0" collapsed="false">
      <c r="B15" s="109" t="n">
        <v>6</v>
      </c>
      <c r="C15" s="88" t="s">
        <v>90</v>
      </c>
      <c r="D15" s="110" t="n">
        <v>30</v>
      </c>
      <c r="E15" s="110" t="n">
        <v>31.3</v>
      </c>
      <c r="F15" s="110" t="n">
        <v>0</v>
      </c>
      <c r="G15" s="111" t="n">
        <f aca="false">SUM(D15:F15)</f>
        <v>61.3</v>
      </c>
      <c r="H15" s="89" t="n">
        <v>37</v>
      </c>
      <c r="I15" s="89" t="n">
        <v>39</v>
      </c>
      <c r="J15" s="89" t="n">
        <v>0</v>
      </c>
      <c r="K15" s="90" t="n">
        <f aca="false">SUM(H15:J15)</f>
        <v>76</v>
      </c>
      <c r="L15" s="112" t="n">
        <f aca="false">K15/60</f>
        <v>1.26666666666667</v>
      </c>
      <c r="M15" s="113" t="n">
        <v>0</v>
      </c>
      <c r="N15" s="114" t="n">
        <v>1</v>
      </c>
      <c r="O15" s="115" t="n">
        <f aca="false">L15/N15</f>
        <v>1.26666666666667</v>
      </c>
      <c r="P15" s="113" t="n">
        <f aca="false">M15/N15</f>
        <v>0</v>
      </c>
      <c r="Q15" s="116" t="n">
        <v>0</v>
      </c>
      <c r="R15" s="99" t="str">
        <f aca="false">INDEX('Base Blumenau'!$K$7:$K$25,MATCH(C15,'Base Blumenau'!$B$7:$B$25,0))</f>
        <v>NÃO</v>
      </c>
      <c r="S15" s="100" t="n">
        <v>0</v>
      </c>
    </row>
    <row r="16" customFormat="false" ht="19.5" hidden="false" customHeight="true" outlineLevel="0" collapsed="false">
      <c r="B16" s="117" t="s">
        <v>98</v>
      </c>
      <c r="C16" s="117"/>
      <c r="D16" s="117"/>
      <c r="E16" s="117"/>
      <c r="F16" s="117"/>
      <c r="G16" s="118" t="n">
        <f aca="false">SUM(G5:G15)</f>
        <v>628.1</v>
      </c>
      <c r="H16" s="118" t="s">
        <v>98</v>
      </c>
      <c r="I16" s="118"/>
      <c r="J16" s="118"/>
      <c r="K16" s="118" t="n">
        <f aca="false">SUM(K5:K15)</f>
        <v>666</v>
      </c>
      <c r="L16" s="119" t="n">
        <f aca="false">SUM(L5:L15)</f>
        <v>11.1</v>
      </c>
      <c r="M16" s="120" t="n">
        <f aca="false">SUM(M5:M15)</f>
        <v>0</v>
      </c>
      <c r="N16" s="121" t="n">
        <f aca="false">SUM(N5:N15)</f>
        <v>11</v>
      </c>
      <c r="O16" s="122"/>
      <c r="P16" s="123"/>
      <c r="Q16" s="120" t="n">
        <f aca="false">SUM(Q5:Q15)</f>
        <v>0</v>
      </c>
      <c r="R16" s="120"/>
      <c r="S16" s="121"/>
    </row>
    <row r="17" customFormat="false" ht="16.5" hidden="false" customHeight="true" outlineLevel="0" collapsed="false">
      <c r="B17" s="124"/>
      <c r="C17" s="124"/>
      <c r="D17" s="124"/>
      <c r="E17" s="124"/>
      <c r="F17" s="124"/>
    </row>
    <row r="18" customFormat="false" ht="18.75" hidden="false" customHeight="true" outlineLevel="0" collapsed="false">
      <c r="B18" s="125" t="s">
        <v>118</v>
      </c>
      <c r="C18" s="125"/>
      <c r="D18" s="125"/>
      <c r="E18" s="125"/>
      <c r="F18" s="124"/>
      <c r="G18" s="124"/>
      <c r="H18" s="124"/>
      <c r="I18" s="124"/>
      <c r="J18" s="124"/>
      <c r="K18" s="124"/>
      <c r="L18" s="124"/>
      <c r="M18" s="124"/>
      <c r="N18" s="126"/>
      <c r="O18" s="126"/>
    </row>
    <row r="19" customFormat="false" ht="18.75" hidden="false" customHeight="true" outlineLevel="0" collapsed="false">
      <c r="B19" s="127" t="s">
        <v>119</v>
      </c>
      <c r="C19" s="127" t="s">
        <v>120</v>
      </c>
      <c r="D19" s="127" t="s">
        <v>121</v>
      </c>
      <c r="E19" s="127" t="s">
        <v>122</v>
      </c>
      <c r="F19" s="124"/>
      <c r="G19" s="124"/>
      <c r="H19" s="126"/>
      <c r="I19" s="126"/>
      <c r="J19" s="124"/>
      <c r="K19" s="124"/>
      <c r="L19" s="124"/>
      <c r="M19" s="124"/>
      <c r="N19" s="126"/>
      <c r="O19" s="126"/>
    </row>
    <row r="20" customFormat="false" ht="18.75" hidden="false" customHeight="true" outlineLevel="0" collapsed="false">
      <c r="B20" s="50" t="s">
        <v>123</v>
      </c>
      <c r="C20" s="128" t="s">
        <v>124</v>
      </c>
      <c r="D20" s="50" t="s">
        <v>125</v>
      </c>
      <c r="E20" s="129" t="n">
        <f aca="false">'Comp. Veículo'!D11</f>
        <v>52.02</v>
      </c>
      <c r="F20" s="124"/>
      <c r="G20" s="124"/>
      <c r="H20" s="130"/>
      <c r="I20" s="130"/>
      <c r="J20" s="124"/>
      <c r="K20" s="124"/>
      <c r="L20" s="124"/>
      <c r="M20" s="124"/>
      <c r="N20" s="126"/>
      <c r="O20" s="126"/>
    </row>
    <row r="21" customFormat="false" ht="18.75" hidden="false" customHeight="true" outlineLevel="0" collapsed="false">
      <c r="B21" s="109" t="s">
        <v>126</v>
      </c>
      <c r="C21" s="131" t="s">
        <v>124</v>
      </c>
      <c r="D21" s="109" t="s">
        <v>127</v>
      </c>
      <c r="E21" s="132" t="n">
        <f aca="false">'Comp. Veículo'!D27</f>
        <v>6.95</v>
      </c>
      <c r="F21" s="124"/>
      <c r="G21" s="124"/>
      <c r="H21" s="130"/>
      <c r="I21" s="130"/>
      <c r="J21" s="124"/>
      <c r="K21" s="124"/>
      <c r="L21" s="124"/>
      <c r="M21" s="124"/>
      <c r="N21" s="126"/>
      <c r="O21" s="126"/>
    </row>
    <row r="22" customFormat="false" ht="47.25" hidden="false" customHeight="true" outlineLevel="0" collapsed="false">
      <c r="B22" s="133" t="s">
        <v>128</v>
      </c>
      <c r="C22" s="133"/>
      <c r="D22" s="133"/>
      <c r="E22" s="133"/>
      <c r="F22" s="134"/>
      <c r="G22" s="134"/>
      <c r="H22" s="134"/>
      <c r="I22" s="134"/>
      <c r="J22" s="134"/>
      <c r="K22" s="134"/>
      <c r="L22" s="134"/>
      <c r="M22" s="124"/>
      <c r="N22" s="126"/>
      <c r="O22" s="126"/>
    </row>
    <row r="23" customFormat="false" ht="16.5" hidden="false" customHeight="true" outlineLevel="0" collapsed="false">
      <c r="B23" s="135"/>
      <c r="C23" s="135"/>
      <c r="D23" s="135"/>
      <c r="E23" s="135"/>
      <c r="F23" s="134"/>
      <c r="G23" s="134"/>
      <c r="H23" s="134"/>
      <c r="I23" s="134"/>
      <c r="J23" s="134"/>
      <c r="K23" s="134"/>
      <c r="L23" s="134"/>
      <c r="M23" s="124"/>
      <c r="N23" s="126"/>
      <c r="O23" s="126"/>
    </row>
    <row r="24" customFormat="false" ht="16.5" hidden="false" customHeight="true" outlineLevel="0" collapsed="false">
      <c r="B24" s="125" t="s">
        <v>129</v>
      </c>
      <c r="C24" s="125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6"/>
      <c r="O24" s="126"/>
    </row>
    <row r="25" customFormat="false" ht="16.5" hidden="false" customHeight="true" outlineLevel="0" collapsed="false">
      <c r="B25" s="50" t="s">
        <v>125</v>
      </c>
      <c r="C25" s="129" t="n">
        <f aca="false">E20*L16</f>
        <v>577.422</v>
      </c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6"/>
      <c r="O25" s="126"/>
    </row>
    <row r="26" customFormat="false" ht="16.5" hidden="false" customHeight="true" outlineLevel="0" collapsed="false">
      <c r="B26" s="50" t="s">
        <v>127</v>
      </c>
      <c r="C26" s="129" t="n">
        <f aca="false">E21*('Base Blumenau'!N18/12)</f>
        <v>232.738125</v>
      </c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6"/>
      <c r="O26" s="126"/>
    </row>
    <row r="27" customFormat="false" ht="16.5" hidden="false" customHeight="true" outlineLevel="0" collapsed="false">
      <c r="B27" s="136" t="s">
        <v>28</v>
      </c>
      <c r="C27" s="137" t="n">
        <f aca="false">C25+C26</f>
        <v>810.160125</v>
      </c>
      <c r="D27" s="124"/>
      <c r="E27" s="124"/>
      <c r="F27" s="124"/>
      <c r="G27" s="124"/>
      <c r="H27" s="124"/>
      <c r="I27" s="124"/>
      <c r="M27" s="124"/>
      <c r="N27" s="126"/>
      <c r="O27" s="126"/>
    </row>
    <row r="28" customFormat="false" ht="16.5" hidden="false" customHeight="true" outlineLevel="0" collapsed="false">
      <c r="B28" s="124"/>
      <c r="C28" s="138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6"/>
      <c r="O28" s="126"/>
    </row>
    <row r="29" customFormat="false" ht="16.5" hidden="false" customHeight="true" outlineLevel="0" collapsed="false">
      <c r="B29" s="139" t="s">
        <v>130</v>
      </c>
      <c r="C29" s="139"/>
      <c r="D29" s="124"/>
      <c r="J29" s="124"/>
      <c r="K29" s="124"/>
      <c r="L29" s="124"/>
      <c r="M29" s="124"/>
      <c r="N29" s="126"/>
      <c r="O29" s="126"/>
    </row>
    <row r="30" customFormat="false" ht="16.5" hidden="false" customHeight="true" outlineLevel="0" collapsed="false">
      <c r="B30" s="140" t="s">
        <v>122</v>
      </c>
      <c r="C30" s="141" t="n">
        <f aca="false">SUM(M5:M15)</f>
        <v>0</v>
      </c>
      <c r="J30" s="124"/>
      <c r="K30" s="124"/>
      <c r="L30" s="124"/>
      <c r="M30" s="124"/>
      <c r="N30" s="126"/>
      <c r="O30" s="126"/>
    </row>
    <row r="31" customFormat="false" ht="16.5" hidden="false" customHeight="true" outlineLevel="0" collapsed="false">
      <c r="B31" s="124"/>
      <c r="C31" s="142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6"/>
      <c r="O31" s="126"/>
    </row>
  </sheetData>
  <mergeCells count="67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B16:F16"/>
    <mergeCell ref="H16:J16"/>
    <mergeCell ref="B18:E18"/>
    <mergeCell ref="B22:E22"/>
    <mergeCell ref="B24:C24"/>
    <mergeCell ref="B29:C29"/>
  </mergeCells>
  <printOptions headings="false" gridLines="false" gridLinesSet="true" horizontalCentered="true" verticalCentered="tru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FF66"/>
    <pageSetUpPr fitToPage="false"/>
  </sheetPr>
  <dimension ref="A1:ALX65526"/>
  <sheetViews>
    <sheetView showFormulas="false" showGridLines="false" showRowColHeaders="true" showZeros="true" rightToLeft="false" tabSelected="false" showOutlineSymbols="true" defaultGridColor="true" view="normal" topLeftCell="R4" colorId="64" zoomScale="90" zoomScaleNormal="90" zoomScalePageLayoutView="100" workbookViewId="0">
      <selection pane="topLeft" activeCell="V7" activeCellId="0" sqref="V7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33.62"/>
    <col collapsed="false" customWidth="true" hidden="false" outlineLevel="0" max="15" min="3" style="16" width="12.62"/>
    <col collapsed="false" customWidth="true" hidden="false" outlineLevel="0" max="16" min="16" style="16" width="9.62"/>
    <col collapsed="false" customWidth="true" hidden="false" outlineLevel="0" max="17" min="17" style="16" width="33.62"/>
    <col collapsed="false" customWidth="true" hidden="false" outlineLevel="0" max="33" min="18" style="16" width="11.5"/>
    <col collapsed="false" customWidth="true" hidden="false" outlineLevel="0" max="34" min="34" style="16" width="11"/>
    <col collapsed="false" customWidth="true" hidden="false" outlineLevel="0" max="35" min="35" style="16" width="31"/>
    <col collapsed="false" customWidth="true" hidden="false" outlineLevel="0" max="40" min="36" style="16" width="10.75"/>
    <col collapsed="false" customWidth="true" hidden="false" outlineLevel="0" max="41" min="41" style="16" width="14.5"/>
    <col collapsed="false" customWidth="true" hidden="false" outlineLevel="0" max="42" min="42" style="16" width="12.5"/>
    <col collapsed="false" customWidth="true" hidden="false" outlineLevel="0" max="43" min="43" style="16" width="14.25"/>
    <col collapsed="false" customWidth="true" hidden="false" outlineLevel="0" max="44" min="44" style="16" width="2.62"/>
    <col collapsed="false" customWidth="true" hidden="false" outlineLevel="0" max="45" min="45" style="16" width="28.12"/>
    <col collapsed="false" customWidth="true" hidden="false" outlineLevel="0" max="46" min="46" style="16" width="12.76"/>
    <col collapsed="false" customWidth="true" hidden="false" outlineLevel="0" max="49" min="47" style="16" width="11.75"/>
    <col collapsed="false" customWidth="true" hidden="false" outlineLevel="0" max="66" min="50" style="16" width="10.75"/>
    <col collapsed="false" customWidth="true" hidden="false" outlineLevel="0" max="256" min="67" style="2" width="10.75"/>
    <col collapsed="false" customWidth="true" hidden="false" outlineLevel="0" max="1012" min="257" style="1" width="10.62"/>
  </cols>
  <sheetData>
    <row r="1" customFormat="false" ht="15" hidden="false" customHeight="true" outlineLevel="0" collapsed="false"/>
    <row r="2" s="53" customFormat="true" ht="24.75" hidden="false" customHeight="true" outlineLevel="0" collapsed="false">
      <c r="B2" s="54" t="str">
        <f aca="false">"BASE "&amp;Resumo!B6&amp;" - PLANILHA DE FORMAÇÃO DE PREÇOS"</f>
        <v>BASE JOINVILLE - PLANILHA DE FORMAÇÃO DE PREÇOS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5"/>
      <c r="Q2" s="44" t="str">
        <f aca="false">"BASE "&amp;Resumo!B6&amp;" – PLANILHA DE DISTRIBUIÇÃO DE CUSTOS POR UNIDADE"</f>
        <v>BASE JOINVILLE – PLANILHA DE DISTRIBUIÇÃO DE CUSTOS POR UNIDADE</v>
      </c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5"/>
      <c r="AI2" s="57" t="str">
        <f aca="false">"BASE "&amp;Resumo!B6&amp;" – PLANILHA RESUMO DE CUSTOS DA BASE"</f>
        <v>BASE JOINVILLE – PLANILHA RESUMO DE CUSTOS DA BASE</v>
      </c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</row>
    <row r="3" customFormat="false" ht="15" hidden="false" customHeight="true" outlineLevel="0" collapsed="false">
      <c r="B3" s="53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</row>
    <row r="4" customFormat="false" ht="19.5" hidden="false" customHeight="true" outlineLevel="0" collapsed="false">
      <c r="B4" s="47" t="s">
        <v>41</v>
      </c>
      <c r="C4" s="47" t="s">
        <v>42</v>
      </c>
      <c r="D4" s="47"/>
      <c r="E4" s="47"/>
      <c r="F4" s="47"/>
      <c r="G4" s="47"/>
      <c r="H4" s="47" t="s">
        <v>43</v>
      </c>
      <c r="I4" s="47"/>
      <c r="J4" s="47"/>
      <c r="K4" s="47"/>
      <c r="L4" s="47"/>
      <c r="M4" s="47"/>
      <c r="N4" s="47"/>
      <c r="O4" s="47" t="s">
        <v>28</v>
      </c>
      <c r="P4" s="55"/>
      <c r="Q4" s="47" t="s">
        <v>44</v>
      </c>
      <c r="R4" s="58" t="s">
        <v>45</v>
      </c>
      <c r="S4" s="58"/>
      <c r="T4" s="58"/>
      <c r="U4" s="58"/>
      <c r="V4" s="58" t="s">
        <v>46</v>
      </c>
      <c r="W4" s="58"/>
      <c r="X4" s="58"/>
      <c r="Y4" s="58"/>
      <c r="Z4" s="58" t="s">
        <v>47</v>
      </c>
      <c r="AA4" s="58"/>
      <c r="AB4" s="58"/>
      <c r="AC4" s="58"/>
      <c r="AD4" s="58" t="s">
        <v>48</v>
      </c>
      <c r="AE4" s="58"/>
      <c r="AF4" s="58"/>
      <c r="AG4" s="58"/>
      <c r="AH4" s="56"/>
      <c r="AI4" s="47" t="s">
        <v>44</v>
      </c>
      <c r="AJ4" s="59" t="s">
        <v>49</v>
      </c>
      <c r="AK4" s="59"/>
      <c r="AL4" s="59"/>
      <c r="AM4" s="59"/>
      <c r="AN4" s="59"/>
      <c r="AO4" s="59" t="s">
        <v>50</v>
      </c>
      <c r="AP4" s="59"/>
      <c r="AQ4" s="59"/>
      <c r="AR4" s="60"/>
      <c r="AS4" s="59" t="str">
        <f aca="false">"Resumo de Custos da Base "&amp;Resumo!B6</f>
        <v>Resumo de Custos da Base JOINVILLE</v>
      </c>
      <c r="AT4" s="59"/>
      <c r="AU4" s="59"/>
      <c r="AV4" s="59"/>
      <c r="AW4" s="59"/>
    </row>
    <row r="5" customFormat="false" ht="39.75" hidden="false" customHeight="true" outlineLevel="0" collapsed="false">
      <c r="B5" s="47"/>
      <c r="C5" s="47" t="s">
        <v>28</v>
      </c>
      <c r="D5" s="47" t="s">
        <v>51</v>
      </c>
      <c r="E5" s="47" t="s">
        <v>52</v>
      </c>
      <c r="F5" s="47" t="s">
        <v>53</v>
      </c>
      <c r="G5" s="47" t="s">
        <v>54</v>
      </c>
      <c r="H5" s="47" t="s">
        <v>55</v>
      </c>
      <c r="I5" s="47" t="s">
        <v>56</v>
      </c>
      <c r="J5" s="47" t="s">
        <v>57</v>
      </c>
      <c r="K5" s="47" t="s">
        <v>58</v>
      </c>
      <c r="L5" s="47" t="s">
        <v>59</v>
      </c>
      <c r="M5" s="47" t="s">
        <v>60</v>
      </c>
      <c r="N5" s="47" t="s">
        <v>61</v>
      </c>
      <c r="O5" s="47"/>
      <c r="P5" s="55"/>
      <c r="Q5" s="47"/>
      <c r="R5" s="47" t="s">
        <v>62</v>
      </c>
      <c r="S5" s="47" t="s">
        <v>63</v>
      </c>
      <c r="T5" s="47" t="s">
        <v>64</v>
      </c>
      <c r="U5" s="47" t="s">
        <v>65</v>
      </c>
      <c r="V5" s="47" t="s">
        <v>66</v>
      </c>
      <c r="W5" s="47" t="s">
        <v>67</v>
      </c>
      <c r="X5" s="47" t="s">
        <v>68</v>
      </c>
      <c r="Y5" s="47" t="s">
        <v>69</v>
      </c>
      <c r="Z5" s="47" t="s">
        <v>70</v>
      </c>
      <c r="AA5" s="47"/>
      <c r="AB5" s="47"/>
      <c r="AC5" s="47" t="n">
        <f aca="false">N16+'Base Blumenau'!N18</f>
        <v>771.5</v>
      </c>
      <c r="AD5" s="58" t="s">
        <v>62</v>
      </c>
      <c r="AE5" s="58" t="s">
        <v>63</v>
      </c>
      <c r="AF5" s="58" t="s">
        <v>64</v>
      </c>
      <c r="AG5" s="58" t="s">
        <v>65</v>
      </c>
      <c r="AH5" s="43"/>
      <c r="AI5" s="47"/>
      <c r="AJ5" s="58" t="s">
        <v>71</v>
      </c>
      <c r="AK5" s="58" t="s">
        <v>62</v>
      </c>
      <c r="AL5" s="58" t="s">
        <v>63</v>
      </c>
      <c r="AM5" s="58" t="s">
        <v>64</v>
      </c>
      <c r="AN5" s="58" t="s">
        <v>65</v>
      </c>
      <c r="AO5" s="58" t="s">
        <v>72</v>
      </c>
      <c r="AP5" s="58" t="s">
        <v>73</v>
      </c>
      <c r="AQ5" s="58" t="s">
        <v>74</v>
      </c>
      <c r="AR5" s="56"/>
      <c r="AS5" s="58" t="s">
        <v>75</v>
      </c>
      <c r="AT5" s="58" t="s">
        <v>62</v>
      </c>
      <c r="AU5" s="58" t="s">
        <v>63</v>
      </c>
      <c r="AV5" s="58" t="s">
        <v>64</v>
      </c>
      <c r="AW5" s="58" t="s">
        <v>65</v>
      </c>
    </row>
    <row r="6" customFormat="false" ht="19.5" hidden="false" customHeight="true" outlineLevel="0" collapsed="false">
      <c r="B6" s="47"/>
      <c r="C6" s="61" t="s">
        <v>76</v>
      </c>
      <c r="D6" s="61" t="n">
        <v>1</v>
      </c>
      <c r="E6" s="61" t="n">
        <v>0.35</v>
      </c>
      <c r="F6" s="61" t="n">
        <v>0.1</v>
      </c>
      <c r="G6" s="47"/>
      <c r="H6" s="61" t="n">
        <v>1</v>
      </c>
      <c r="I6" s="61" t="n">
        <v>1.2</v>
      </c>
      <c r="J6" s="61" t="n">
        <v>2</v>
      </c>
      <c r="K6" s="61" t="n">
        <v>4</v>
      </c>
      <c r="L6" s="61" t="n">
        <v>1.1</v>
      </c>
      <c r="M6" s="61" t="n">
        <v>1.1</v>
      </c>
      <c r="N6" s="47"/>
      <c r="O6" s="47"/>
      <c r="P6" s="62"/>
      <c r="Q6" s="47"/>
      <c r="R6" s="61" t="s">
        <v>77</v>
      </c>
      <c r="S6" s="61" t="s">
        <v>78</v>
      </c>
      <c r="T6" s="61" t="s">
        <v>79</v>
      </c>
      <c r="U6" s="61" t="s">
        <v>80</v>
      </c>
      <c r="V6" s="47"/>
      <c r="W6" s="47"/>
      <c r="X6" s="47"/>
      <c r="Y6" s="47"/>
      <c r="Z6" s="35" t="s">
        <v>62</v>
      </c>
      <c r="AA6" s="35" t="s">
        <v>63</v>
      </c>
      <c r="AB6" s="35" t="s">
        <v>64</v>
      </c>
      <c r="AC6" s="35" t="s">
        <v>65</v>
      </c>
      <c r="AD6" s="58"/>
      <c r="AE6" s="58"/>
      <c r="AF6" s="58"/>
      <c r="AG6" s="58"/>
      <c r="AH6" s="56"/>
      <c r="AI6" s="47"/>
      <c r="AJ6" s="58"/>
      <c r="AK6" s="58"/>
      <c r="AL6" s="58"/>
      <c r="AM6" s="58"/>
      <c r="AN6" s="58"/>
      <c r="AO6" s="58"/>
      <c r="AP6" s="58"/>
      <c r="AQ6" s="58"/>
      <c r="AR6" s="63"/>
      <c r="AS6" s="58"/>
      <c r="AT6" s="35" t="s">
        <v>77</v>
      </c>
      <c r="AU6" s="35" t="s">
        <v>78</v>
      </c>
      <c r="AV6" s="35" t="s">
        <v>79</v>
      </c>
      <c r="AW6" s="35" t="s">
        <v>80</v>
      </c>
    </row>
    <row r="7" customFormat="false" ht="15" hidden="false" customHeight="true" outlineLevel="0" collapsed="false">
      <c r="B7" s="64" t="s">
        <v>131</v>
      </c>
      <c r="C7" s="65" t="n">
        <f aca="false">VLOOKUP($B7,Unidades!$D$5:$N$24,6,FALSE())</f>
        <v>2098</v>
      </c>
      <c r="D7" s="65" t="n">
        <f aca="false">VLOOKUP($B7,Unidades!$D$5:$N$24,7,FALSE())</f>
        <v>661</v>
      </c>
      <c r="E7" s="65" t="n">
        <f aca="false">VLOOKUP($B7,Unidades!$D$5:$N$24,8,FALSE())</f>
        <v>742</v>
      </c>
      <c r="F7" s="65" t="n">
        <f aca="false">VLOOKUP($B7,Unidades!$D$5:$N$24,9,FALSE())</f>
        <v>695</v>
      </c>
      <c r="G7" s="65" t="n">
        <f aca="false">D7+$E$6*E7+$F$6*F7</f>
        <v>990.2</v>
      </c>
      <c r="H7" s="66" t="n">
        <f aca="false">IF(G7&lt;750,1.5,IF(G7&lt;2000,2,3))</f>
        <v>2</v>
      </c>
      <c r="I7" s="66" t="n">
        <f aca="false">$I$6*H7</f>
        <v>2.4</v>
      </c>
      <c r="J7" s="66" t="str">
        <f aca="false">VLOOKUP($B7,Unidades!$D$5:$N$24,10,FALSE())</f>
        <v>SIM</v>
      </c>
      <c r="K7" s="66" t="str">
        <f aca="false">VLOOKUP($B7,Unidades!$D$5:$N$24,11,FALSE())</f>
        <v>SIM</v>
      </c>
      <c r="L7" s="66" t="n">
        <f aca="false">$L$6*H7+(IF(J7="SIM",$J$6,0))</f>
        <v>4.2</v>
      </c>
      <c r="M7" s="66" t="n">
        <f aca="false">$M$6*H7+(IF(J7="SIM",$J$6,0))+(IF(K7="SIM",$K$6,0))</f>
        <v>8.2</v>
      </c>
      <c r="N7" s="66" t="n">
        <f aca="false">H7*12+I7*4+L7*2+M7</f>
        <v>50.2</v>
      </c>
      <c r="O7" s="67" t="n">
        <f aca="false">IF(K7="não", N7*(C$19+D$19),N7*(C$19+D$19)+(M7*+E$19))</f>
        <v>3173.238</v>
      </c>
      <c r="P7" s="68"/>
      <c r="Q7" s="22" t="str">
        <f aca="false">B7</f>
        <v>APS CANOINHAS</v>
      </c>
      <c r="R7" s="24" t="n">
        <f aca="false">H7*($C$19+$D$19)</f>
        <v>113</v>
      </c>
      <c r="S7" s="24" t="n">
        <f aca="false">I7*($C$19+$D$19)</f>
        <v>135.6</v>
      </c>
      <c r="T7" s="24" t="n">
        <f aca="false">L7*($C$19+$D$19)</f>
        <v>237.3</v>
      </c>
      <c r="U7" s="24" t="n">
        <f aca="false">IF(K7="não",M7*($C$19+$D$19),M7*(C$19+D$19+E$19))</f>
        <v>800.238</v>
      </c>
      <c r="V7" s="24" t="n">
        <f aca="false">VLOOKUP(Q7,'Desl. Base Joinville'!$C$5:$S$13,13,FALSE())*($C$19+$D$19+$E$19*(VLOOKUP(Q7,'Desl. Base Joinville'!$C$5:$S$13,17,FALSE())/12))</f>
        <v>186.264284722222</v>
      </c>
      <c r="W7" s="24" t="n">
        <f aca="false">VLOOKUP(Q7,'Desl. Base Joinville'!$C$5:$S$13,15,FALSE())*(2+(VLOOKUP(Q7,'Desl. Base Joinville'!$C$5:$S$13,17,FALSE())/12))</f>
        <v>0</v>
      </c>
      <c r="X7" s="24" t="n">
        <f aca="false">VLOOKUP(Q7,'Desl. Base Joinville'!$C$5:$Q$13,14,FALSE())</f>
        <v>0</v>
      </c>
      <c r="Y7" s="24" t="n">
        <f aca="false">VLOOKUP(Q7,'Desl. Base Joinville'!$C$5:Q$13,13,FALSE())*'Desl. Base Joinville'!$E$18+'Desl. Base Joinville'!$E$19*N7/12</f>
        <v>190.769666666667</v>
      </c>
      <c r="Z7" s="24" t="n">
        <f aca="false">(H7/$AC$5)*'Equipe Técnica'!$C$13</f>
        <v>458.695528191834</v>
      </c>
      <c r="AA7" s="24" t="n">
        <f aca="false">(I7/$AC$5)*'Equipe Técnica'!$C$13</f>
        <v>550.434633830201</v>
      </c>
      <c r="AB7" s="24" t="n">
        <f aca="false">(L7/$AC$5)*'Equipe Técnica'!$C$13</f>
        <v>963.260609202852</v>
      </c>
      <c r="AC7" s="24" t="n">
        <f aca="false">(M7/$AC$5)*'Equipe Técnica'!$C$13</f>
        <v>1880.65166558652</v>
      </c>
      <c r="AD7" s="24" t="n">
        <f aca="false">R7+(($V7+$W7+$X7+$Y7)*12/19)+$Z7</f>
        <v>809.822234332185</v>
      </c>
      <c r="AE7" s="24" t="n">
        <f aca="false">S7+(($V7+$W7+$X7+$Y7)*12/19)+$AA7</f>
        <v>924.161339970552</v>
      </c>
      <c r="AF7" s="24" t="n">
        <f aca="false">T7+(($V7+$W7+$X7+$Y7)*12/19)+$AB7</f>
        <v>1438.6873153432</v>
      </c>
      <c r="AG7" s="24" t="n">
        <f aca="false">U7+(($V7+$W7+$X7+$Y7)*12/19)+$AC7</f>
        <v>2919.01637172687</v>
      </c>
      <c r="AH7" s="143"/>
      <c r="AI7" s="22" t="str">
        <f aca="false">B7</f>
        <v>APS CANOINHAS</v>
      </c>
      <c r="AJ7" s="69" t="n">
        <f aca="false">VLOOKUP(AI7,Unidades!D$5:H$24,5,)</f>
        <v>0.2354</v>
      </c>
      <c r="AK7" s="48" t="n">
        <f aca="false">AD7*(1+$AJ7)</f>
        <v>1000.45438829398</v>
      </c>
      <c r="AL7" s="48" t="n">
        <f aca="false">AE7*(1+$AJ7)</f>
        <v>1141.70891939962</v>
      </c>
      <c r="AM7" s="48" t="n">
        <f aca="false">AF7*(1+$AJ7)</f>
        <v>1777.35430937499</v>
      </c>
      <c r="AN7" s="48" t="n">
        <f aca="false">AG7*(1+$AJ7)</f>
        <v>3606.15282563138</v>
      </c>
      <c r="AO7" s="48" t="n">
        <f aca="false">((AK7*12)+(AL7*4)+(AM7*2)+AN7)/12</f>
        <v>1977.7624817923</v>
      </c>
      <c r="AP7" s="48" t="n">
        <f aca="false">AO7*3</f>
        <v>5933.2874453769</v>
      </c>
      <c r="AQ7" s="48" t="n">
        <f aca="false">AO7+AP7</f>
        <v>7911.04992716921</v>
      </c>
      <c r="AR7" s="70"/>
      <c r="AS7" s="71" t="s">
        <v>82</v>
      </c>
      <c r="AT7" s="48" t="n">
        <f aca="false">AK16</f>
        <v>7190.39720478167</v>
      </c>
      <c r="AU7" s="48" t="n">
        <f aca="false">AL16</f>
        <v>8345.4537084181</v>
      </c>
      <c r="AV7" s="48" t="n">
        <f aca="false">AM16</f>
        <v>9871.76500034584</v>
      </c>
      <c r="AW7" s="48" t="n">
        <f aca="false">AN16</f>
        <v>18737.2911110732</v>
      </c>
    </row>
    <row r="8" customFormat="false" ht="15" hidden="false" customHeight="true" outlineLevel="0" collapsed="false">
      <c r="B8" s="64" t="s">
        <v>132</v>
      </c>
      <c r="C8" s="65" t="n">
        <f aca="false">VLOOKUP($B8,Unidades!$D$5:$N$24,6,FALSE())</f>
        <v>334.4</v>
      </c>
      <c r="D8" s="65" t="n">
        <f aca="false">VLOOKUP($B8,Unidades!$D$5:$N$24,7,FALSE())</f>
        <v>296</v>
      </c>
      <c r="E8" s="65" t="n">
        <f aca="false">VLOOKUP($B8,Unidades!$D$5:$N$24,8,FALSE())</f>
        <v>38.4</v>
      </c>
      <c r="F8" s="65" t="n">
        <f aca="false">VLOOKUP($B8,Unidades!$D$5:$N$24,9,FALSE())</f>
        <v>0</v>
      </c>
      <c r="G8" s="65" t="n">
        <f aca="false">D8+$E$6*E8+$F$6*F8</f>
        <v>309.44</v>
      </c>
      <c r="H8" s="66" t="n">
        <f aca="false">IF(G8&lt;750,1.5,IF(G8&lt;2000,2,3))</f>
        <v>1.5</v>
      </c>
      <c r="I8" s="66" t="n">
        <f aca="false">$I$6*H8</f>
        <v>1.8</v>
      </c>
      <c r="J8" s="66" t="str">
        <f aca="false">VLOOKUP($B8,Unidades!$D$5:$N$24,10,FALSE())</f>
        <v>NÃO</v>
      </c>
      <c r="K8" s="66" t="str">
        <f aca="false">VLOOKUP($B8,Unidades!$D$5:$N$24,11,FALSE())</f>
        <v>NÃO</v>
      </c>
      <c r="L8" s="66" t="n">
        <f aca="false">$L$6*H8+(IF(J8="SIM",$J$6,0))</f>
        <v>1.65</v>
      </c>
      <c r="M8" s="66" t="n">
        <f aca="false">$M$6*H8+(IF(J8="SIM",$J$6,0))+(IF(K8="SIM",$K$6,0))</f>
        <v>1.65</v>
      </c>
      <c r="N8" s="66" t="n">
        <f aca="false">H8*12+I8*4+L8*2+M8</f>
        <v>30.15</v>
      </c>
      <c r="O8" s="67" t="n">
        <f aca="false">IF(K8="não", N8*(C$19+D$19),N8*(C$19+D$19)+(M8*+E$19))</f>
        <v>1703.475</v>
      </c>
      <c r="P8" s="68"/>
      <c r="Q8" s="22" t="str">
        <f aca="false">B8</f>
        <v>APS GUARAMIRIM</v>
      </c>
      <c r="R8" s="24" t="n">
        <f aca="false">H8*($C$19+$D$19)</f>
        <v>84.75</v>
      </c>
      <c r="S8" s="24" t="n">
        <f aca="false">I8*($C$19+$D$19)</f>
        <v>101.7</v>
      </c>
      <c r="T8" s="24" t="n">
        <f aca="false">L8*($C$19+$D$19)</f>
        <v>93.225</v>
      </c>
      <c r="U8" s="24" t="n">
        <f aca="false">IF(K8="não",M8*($C$19+$D$19),M8*(C$19+D$19+E$19))</f>
        <v>93.225</v>
      </c>
      <c r="V8" s="24" t="n">
        <f aca="false">VLOOKUP(Q8,'Desl. Base Joinville'!$C$5:$S$13,13,FALSE())*($C$19+$D$19+$E$19*(VLOOKUP(Q8,'Desl. Base Joinville'!$C$5:$S$13,17,FALSE())/12))</f>
        <v>50.9355416666667</v>
      </c>
      <c r="W8" s="24" t="n">
        <f aca="false">VLOOKUP(Q8,'Desl. Base Joinville'!$C$5:$S$13,15,FALSE())*(2+(VLOOKUP(Q8,'Desl. Base Joinville'!$C$5:$S$13,17,FALSE())/12))</f>
        <v>0</v>
      </c>
      <c r="X8" s="24" t="n">
        <f aca="false">VLOOKUP(Q8,'Desl. Base Joinville'!$C$5:$Q$13,14,FALSE())</f>
        <v>0</v>
      </c>
      <c r="Y8" s="24" t="n">
        <f aca="false">VLOOKUP(Q8,'Desl. Base Joinville'!$C$5:Q$13,13,FALSE())*'Desl. Base Joinville'!$E$18+'Desl. Base Joinville'!$E$19*N8/12</f>
        <v>61.678875</v>
      </c>
      <c r="Z8" s="24" t="n">
        <f aca="false">(H8/$AC$5)*'Equipe Técnica'!$C$13</f>
        <v>344.021646143876</v>
      </c>
      <c r="AA8" s="24" t="n">
        <f aca="false">(I8/$AC$5)*'Equipe Técnica'!$C$13</f>
        <v>412.825975372651</v>
      </c>
      <c r="AB8" s="24" t="n">
        <f aca="false">(L8/$AC$5)*'Equipe Técnica'!$C$13</f>
        <v>378.423810758263</v>
      </c>
      <c r="AC8" s="24" t="n">
        <f aca="false">(M8/$AC$5)*'Equipe Técnica'!$C$13</f>
        <v>378.423810758263</v>
      </c>
      <c r="AD8" s="24" t="n">
        <f aca="false">R8+(($V8+$W8+$X8+$Y8)*12/19)+$Z8</f>
        <v>499.896540880718</v>
      </c>
      <c r="AE8" s="24" t="n">
        <f aca="false">S8+(($V8+$W8+$X8+$Y8)*12/19)+$AA8</f>
        <v>585.650870109493</v>
      </c>
      <c r="AF8" s="24" t="n">
        <f aca="false">T8+(($V8+$W8+$X8+$Y8)*12/19)+$AB8</f>
        <v>542.773705495105</v>
      </c>
      <c r="AG8" s="24" t="n">
        <f aca="false">U8+(($V8+$W8+$X8+$Y8)*12/19)+$AC8</f>
        <v>542.773705495105</v>
      </c>
      <c r="AH8" s="143"/>
      <c r="AI8" s="22" t="str">
        <f aca="false">B8</f>
        <v>APS GUARAMIRIM</v>
      </c>
      <c r="AJ8" s="69" t="n">
        <f aca="false">VLOOKUP(AI8,Unidades!D$5:H$24,5,)</f>
        <v>0.2223</v>
      </c>
      <c r="AK8" s="48" t="n">
        <f aca="false">AD8*(1+$AJ8)</f>
        <v>611.023541918501</v>
      </c>
      <c r="AL8" s="48" t="n">
        <f aca="false">AE8*(1+$AJ8)</f>
        <v>715.841058534833</v>
      </c>
      <c r="AM8" s="48" t="n">
        <f aca="false">AF8*(1+$AJ8)</f>
        <v>663.432300226667</v>
      </c>
      <c r="AN8" s="48" t="n">
        <f aca="false">AG8*(1+$AJ8)</f>
        <v>663.432300226667</v>
      </c>
      <c r="AO8" s="48" t="n">
        <f aca="false">((AK8*12)+(AL8*4)+(AM8*2)+AN8)/12</f>
        <v>1015.49530315345</v>
      </c>
      <c r="AP8" s="48" t="n">
        <f aca="false">AO8*3</f>
        <v>3046.48590946034</v>
      </c>
      <c r="AQ8" s="48" t="n">
        <f aca="false">AO8+AP8</f>
        <v>4061.98121261378</v>
      </c>
      <c r="AR8" s="70"/>
      <c r="AS8" s="71" t="s">
        <v>84</v>
      </c>
      <c r="AT8" s="48" t="n">
        <f aca="false">AT7*12</f>
        <v>86284.7664573801</v>
      </c>
      <c r="AU8" s="48" t="n">
        <f aca="false">AU7*4</f>
        <v>33381.8148336724</v>
      </c>
      <c r="AV8" s="48" t="n">
        <f aca="false">AV7*2</f>
        <v>19743.5300006917</v>
      </c>
      <c r="AW8" s="48" t="n">
        <f aca="false">AW7</f>
        <v>18737.2911110732</v>
      </c>
    </row>
    <row r="9" customFormat="false" ht="15" hidden="false" customHeight="true" outlineLevel="0" collapsed="false">
      <c r="B9" s="64" t="s">
        <v>133</v>
      </c>
      <c r="C9" s="65" t="n">
        <f aca="false">VLOOKUP($B9,Unidades!$D$5:$N$24,6,FALSE())</f>
        <v>1264.6</v>
      </c>
      <c r="D9" s="65" t="n">
        <f aca="false">VLOOKUP($B9,Unidades!$D$5:$N$24,7,FALSE())</f>
        <v>749.6</v>
      </c>
      <c r="E9" s="65" t="n">
        <f aca="false">VLOOKUP($B9,Unidades!$D$5:$N$24,8,FALSE())</f>
        <v>515</v>
      </c>
      <c r="F9" s="65" t="n">
        <f aca="false">VLOOKUP($B9,Unidades!$D$5:$N$24,9,FALSE())</f>
        <v>0</v>
      </c>
      <c r="G9" s="65" t="n">
        <f aca="false">D9+$E$6*E9+$F$6*F9</f>
        <v>929.85</v>
      </c>
      <c r="H9" s="66" t="n">
        <f aca="false">IF(G9&lt;750,1.5,IF(G9&lt;2000,2,3))</f>
        <v>2</v>
      </c>
      <c r="I9" s="66" t="n">
        <f aca="false">$I$6*H9</f>
        <v>2.4</v>
      </c>
      <c r="J9" s="66" t="str">
        <f aca="false">VLOOKUP($B9,Unidades!$D$5:$N$24,10,FALSE())</f>
        <v>SIM</v>
      </c>
      <c r="K9" s="66" t="str">
        <f aca="false">VLOOKUP($B9,Unidades!$D$5:$N$24,11,FALSE())</f>
        <v>SIM</v>
      </c>
      <c r="L9" s="66" t="n">
        <f aca="false">$L$6*H9+(IF(J9="SIM",$J$6,0))</f>
        <v>4.2</v>
      </c>
      <c r="M9" s="66" t="n">
        <f aca="false">$M$6*H9+(IF(J9="SIM",$J$6,0))+(IF(K9="SIM",$K$6,0))</f>
        <v>8.2</v>
      </c>
      <c r="N9" s="66" t="n">
        <f aca="false">H9*12+I9*4+L9*2+M9</f>
        <v>50.2</v>
      </c>
      <c r="O9" s="67" t="n">
        <f aca="false">IF(K9="não", N9*(C$19+D$19),N9*(C$19+D$19)+(M9*+E$19))</f>
        <v>3173.238</v>
      </c>
      <c r="P9" s="68"/>
      <c r="Q9" s="22" t="str">
        <f aca="false">B9</f>
        <v>APS JARAGUÁ DO SUL</v>
      </c>
      <c r="R9" s="24" t="n">
        <f aca="false">H9*($C$19+$D$19)</f>
        <v>113</v>
      </c>
      <c r="S9" s="24" t="n">
        <f aca="false">I9*($C$19+$D$19)</f>
        <v>135.6</v>
      </c>
      <c r="T9" s="24" t="n">
        <f aca="false">L9*($C$19+$D$19)</f>
        <v>237.3</v>
      </c>
      <c r="U9" s="24" t="n">
        <f aca="false">IF(K9="não",M9*($C$19+$D$19),M9*(C$19+D$19+E$19))</f>
        <v>800.238</v>
      </c>
      <c r="V9" s="24" t="n">
        <f aca="false">VLOOKUP(Q9,'Desl. Base Joinville'!$C$5:$S$13,13,FALSE())*($C$19+$D$19+$E$19*(VLOOKUP(Q9,'Desl. Base Joinville'!$C$5:$S$13,17,FALSE())/12))</f>
        <v>50.9355416666667</v>
      </c>
      <c r="W9" s="24" t="n">
        <f aca="false">VLOOKUP(Q9,'Desl. Base Joinville'!$C$5:$S$13,15,FALSE())*(2+(VLOOKUP(Q9,'Desl. Base Joinville'!$C$5:$S$13,17,FALSE())/12))</f>
        <v>0</v>
      </c>
      <c r="X9" s="24" t="n">
        <f aca="false">VLOOKUP(Q9,'Desl. Base Joinville'!$C$5:$Q$13,14,FALSE())</f>
        <v>0</v>
      </c>
      <c r="Y9" s="24" t="n">
        <f aca="false">VLOOKUP(Q9,'Desl. Base Joinville'!$C$5:Q$13,13,FALSE())*'Desl. Base Joinville'!$E$18+'Desl. Base Joinville'!$E$19*N9/12</f>
        <v>73.2911666666667</v>
      </c>
      <c r="Z9" s="24" t="n">
        <f aca="false">(H9/$AC$5)*'Equipe Técnica'!$C$13</f>
        <v>458.695528191834</v>
      </c>
      <c r="AA9" s="24" t="n">
        <f aca="false">(I9/$AC$5)*'Equipe Técnica'!$C$13</f>
        <v>550.434633830201</v>
      </c>
      <c r="AB9" s="24" t="n">
        <f aca="false">(L9/$AC$5)*'Equipe Técnica'!$C$13</f>
        <v>963.260609202852</v>
      </c>
      <c r="AC9" s="24" t="n">
        <f aca="false">(M9/$AC$5)*'Equipe Técnica'!$C$13</f>
        <v>1880.65166558652</v>
      </c>
      <c r="AD9" s="24" t="n">
        <f aca="false">R9+(($V9+$W9+$X9+$Y9)*12/19)+$Z9</f>
        <v>650.154501876045</v>
      </c>
      <c r="AE9" s="24" t="n">
        <f aca="false">S9+(($V9+$W9+$X9+$Y9)*12/19)+$AA9</f>
        <v>764.493607514412</v>
      </c>
      <c r="AF9" s="24" t="n">
        <f aca="false">T9+(($V9+$W9+$X9+$Y9)*12/19)+$AB9</f>
        <v>1279.01958288706</v>
      </c>
      <c r="AG9" s="24" t="n">
        <f aca="false">U9+(($V9+$W9+$X9+$Y9)*12/19)+$AC9</f>
        <v>2759.34863927073</v>
      </c>
      <c r="AH9" s="143"/>
      <c r="AI9" s="22" t="str">
        <f aca="false">B9</f>
        <v>APS JARAGUÁ DO SUL</v>
      </c>
      <c r="AJ9" s="69" t="n">
        <f aca="false">VLOOKUP(AI9,Unidades!D$5:H$24,5,)</f>
        <v>0.2223</v>
      </c>
      <c r="AK9" s="48" t="n">
        <f aca="false">AD9*(1+$AJ9)</f>
        <v>794.683847643089</v>
      </c>
      <c r="AL9" s="48" t="n">
        <f aca="false">AE9*(1+$AJ9)</f>
        <v>934.440536464865</v>
      </c>
      <c r="AM9" s="48" t="n">
        <f aca="false">AF9*(1+$AJ9)</f>
        <v>1563.34563616286</v>
      </c>
      <c r="AN9" s="48" t="n">
        <f aca="false">AG9*(1+$AJ9)</f>
        <v>3372.75184178061</v>
      </c>
      <c r="AO9" s="48" t="n">
        <f aca="false">((AK9*12)+(AL9*4)+(AM9*2)+AN9)/12</f>
        <v>1647.78428597357</v>
      </c>
      <c r="AP9" s="48" t="n">
        <f aca="false">AO9*3</f>
        <v>4943.35285792071</v>
      </c>
      <c r="AQ9" s="48" t="n">
        <f aca="false">AO9+AP9</f>
        <v>6591.13714389429</v>
      </c>
      <c r="AR9" s="70"/>
      <c r="AS9" s="70"/>
      <c r="AT9" s="72"/>
      <c r="AU9" s="72"/>
      <c r="AV9" s="72"/>
      <c r="AW9" s="72"/>
    </row>
    <row r="10" customFormat="false" ht="15" hidden="false" customHeight="true" outlineLevel="0" collapsed="false">
      <c r="B10" s="64" t="s">
        <v>134</v>
      </c>
      <c r="C10" s="65" t="n">
        <f aca="false">VLOOKUP($B10,Unidades!$D$5:$N$24,6,FALSE())</f>
        <v>1623.5</v>
      </c>
      <c r="D10" s="65" t="n">
        <f aca="false">VLOOKUP($B10,Unidades!$D$5:$N$24,7,FALSE())</f>
        <v>842.5</v>
      </c>
      <c r="E10" s="65" t="n">
        <f aca="false">VLOOKUP($B10,Unidades!$D$5:$N$24,8,FALSE())</f>
        <v>660</v>
      </c>
      <c r="F10" s="65" t="n">
        <f aca="false">VLOOKUP($B10,Unidades!$D$5:$N$24,9,FALSE())</f>
        <v>121</v>
      </c>
      <c r="G10" s="65" t="n">
        <f aca="false">D10+$E$6*E10+$F$6*F10</f>
        <v>1085.6</v>
      </c>
      <c r="H10" s="66" t="n">
        <f aca="false">IF(G10&lt;750,1.5,IF(G10&lt;2000,2,3))</f>
        <v>2</v>
      </c>
      <c r="I10" s="66" t="n">
        <f aca="false">$I$6*H10</f>
        <v>2.4</v>
      </c>
      <c r="J10" s="66" t="str">
        <f aca="false">VLOOKUP($B10,Unidades!$D$5:$N$24,10,FALSE())</f>
        <v>NÃO</v>
      </c>
      <c r="K10" s="66" t="str">
        <f aca="false">VLOOKUP($B10,Unidades!$D$5:$N$24,11,FALSE())</f>
        <v>NÃO</v>
      </c>
      <c r="L10" s="66" t="n">
        <f aca="false">$L$6*H10+(IF(J10="SIM",$J$6,0))</f>
        <v>2.2</v>
      </c>
      <c r="M10" s="66" t="n">
        <f aca="false">$M$6*H10+(IF(J10="SIM",$J$6,0))+(IF(K10="SIM",$K$6,0))</f>
        <v>2.2</v>
      </c>
      <c r="N10" s="66" t="n">
        <f aca="false">H10*12+I10*4+L10*2+M10</f>
        <v>40.2</v>
      </c>
      <c r="O10" s="67" t="n">
        <f aca="false">IF(K10="não", N10*(C$19+D$19),N10*(C$19+D$19)+(M10*+E$19))</f>
        <v>2271.3</v>
      </c>
      <c r="P10" s="68"/>
      <c r="Q10" s="22" t="str">
        <f aca="false">B10</f>
        <v>APS MAFRA</v>
      </c>
      <c r="R10" s="24" t="n">
        <f aca="false">H10*($C$19+$D$19)</f>
        <v>113</v>
      </c>
      <c r="S10" s="24" t="n">
        <f aca="false">I10*($C$19+$D$19)</f>
        <v>135.6</v>
      </c>
      <c r="T10" s="24" t="n">
        <f aca="false">L10*($C$19+$D$19)</f>
        <v>124.3</v>
      </c>
      <c r="U10" s="24" t="n">
        <f aca="false">IF(K10="não",M10*($C$19+$D$19),M10*(C$19+D$19+E$19))</f>
        <v>124.3</v>
      </c>
      <c r="V10" s="24" t="n">
        <f aca="false">VLOOKUP(Q10,'Desl. Base Joinville'!$C$5:$S$13,13,FALSE())*($C$19+$D$19+$E$19*(VLOOKUP(Q10,'Desl. Base Joinville'!$C$5:$S$13,17,FALSE())/12))</f>
        <v>129.95</v>
      </c>
      <c r="W10" s="24" t="n">
        <f aca="false">VLOOKUP(Q10,'Desl. Base Joinville'!$C$5:$S$13,15,FALSE())*(2+(VLOOKUP(Q10,'Desl. Base Joinville'!$C$5:$S$13,17,FALSE())/12))</f>
        <v>0</v>
      </c>
      <c r="X10" s="24" t="n">
        <f aca="false">VLOOKUP(Q10,'Desl. Base Joinville'!$C$5:$Q$13,14,FALSE())</f>
        <v>0</v>
      </c>
      <c r="Y10" s="24" t="n">
        <f aca="false">VLOOKUP(Q10,'Desl. Base Joinville'!$C$5:Q$13,13,FALSE())*'Desl. Base Joinville'!$E$18+'Desl. Base Joinville'!$E$19*N10/12</f>
        <v>142.9285</v>
      </c>
      <c r="Z10" s="24" t="n">
        <f aca="false">(H10/$AC$5)*'Equipe Técnica'!$C$13</f>
        <v>458.695528191834</v>
      </c>
      <c r="AA10" s="24" t="n">
        <f aca="false">(I10/$AC$5)*'Equipe Técnica'!$C$13</f>
        <v>550.434633830201</v>
      </c>
      <c r="AB10" s="24" t="n">
        <f aca="false">(L10/$AC$5)*'Equipe Técnica'!$C$13</f>
        <v>504.565081011018</v>
      </c>
      <c r="AC10" s="24" t="n">
        <f aca="false">(M10/$AC$5)*'Equipe Técnica'!$C$13</f>
        <v>504.565081011018</v>
      </c>
      <c r="AD10" s="24" t="n">
        <f aca="false">R10+(($V10+$W10+$X10+$Y10)*12/19)+$Z10</f>
        <v>744.039843981308</v>
      </c>
      <c r="AE10" s="24" t="n">
        <f aca="false">S10+(($V10+$W10+$X10+$Y10)*12/19)+$AA10</f>
        <v>858.378949619675</v>
      </c>
      <c r="AF10" s="24" t="n">
        <f aca="false">T10+(($V10+$W10+$X10+$Y10)*12/19)+$AB10</f>
        <v>801.209396800491</v>
      </c>
      <c r="AG10" s="24" t="n">
        <f aca="false">U10+(($V10+$W10+$X10+$Y10)*12/19)+$AC10</f>
        <v>801.209396800491</v>
      </c>
      <c r="AH10" s="143"/>
      <c r="AI10" s="22" t="str">
        <f aca="false">B10</f>
        <v>APS MAFRA</v>
      </c>
      <c r="AJ10" s="69" t="n">
        <f aca="false">VLOOKUP(AI10,Unidades!D$5:H$24,5,)</f>
        <v>0.2223</v>
      </c>
      <c r="AK10" s="48" t="n">
        <f aca="false">AD10*(1+$AJ10)</f>
        <v>909.439901298352</v>
      </c>
      <c r="AL10" s="48" t="n">
        <f aca="false">AE10*(1+$AJ10)</f>
        <v>1049.19659012013</v>
      </c>
      <c r="AM10" s="48" t="n">
        <f aca="false">AF10*(1+$AJ10)</f>
        <v>979.31824570924</v>
      </c>
      <c r="AN10" s="48" t="n">
        <f aca="false">AG10*(1+$AJ10)</f>
        <v>979.31824570924</v>
      </c>
      <c r="AO10" s="48" t="n">
        <f aca="false">((AK10*12)+(AL10*4)+(AM10*2)+AN10)/12</f>
        <v>1504.00165943237</v>
      </c>
      <c r="AP10" s="48" t="n">
        <f aca="false">AO10*3</f>
        <v>4512.00497829712</v>
      </c>
      <c r="AQ10" s="48" t="n">
        <f aca="false">AO10+AP10</f>
        <v>6016.00663772949</v>
      </c>
      <c r="AR10" s="70"/>
      <c r="AS10" s="73" t="s">
        <v>72</v>
      </c>
      <c r="AT10" s="48" t="n">
        <f aca="false">(SUM(AT8:AW8))/12</f>
        <v>13178.9502002348</v>
      </c>
      <c r="AU10" s="48"/>
      <c r="AV10" s="72"/>
      <c r="AW10" s="72"/>
    </row>
    <row r="11" customFormat="false" ht="15" hidden="false" customHeight="true" outlineLevel="0" collapsed="false">
      <c r="B11" s="64" t="s">
        <v>135</v>
      </c>
      <c r="C11" s="65" t="n">
        <f aca="false">VLOOKUP($B11,Unidades!$D$5:$N$24,6,FALSE())</f>
        <v>334.4</v>
      </c>
      <c r="D11" s="65" t="n">
        <f aca="false">VLOOKUP($B11,Unidades!$D$5:$N$24,7,FALSE())</f>
        <v>296</v>
      </c>
      <c r="E11" s="65" t="n">
        <f aca="false">VLOOKUP($B11,Unidades!$D$5:$N$24,8,FALSE())</f>
        <v>38.4</v>
      </c>
      <c r="F11" s="65" t="n">
        <f aca="false">VLOOKUP($B11,Unidades!$D$5:$N$24,9,FALSE())</f>
        <v>0</v>
      </c>
      <c r="G11" s="65" t="n">
        <f aca="false">D11+$E$6*E11+$F$6*F11</f>
        <v>309.44</v>
      </c>
      <c r="H11" s="66" t="n">
        <f aca="false">IF(G11&lt;750,1.5,IF(G11&lt;2000,2,3))</f>
        <v>1.5</v>
      </c>
      <c r="I11" s="66" t="n">
        <f aca="false">$I$6*H11</f>
        <v>1.8</v>
      </c>
      <c r="J11" s="66" t="str">
        <f aca="false">VLOOKUP($B11,Unidades!$D$5:$N$24,10,FALSE())</f>
        <v>NÃO</v>
      </c>
      <c r="K11" s="66" t="str">
        <f aca="false">VLOOKUP($B11,Unidades!$D$5:$N$24,11,FALSE())</f>
        <v>NÃO</v>
      </c>
      <c r="L11" s="66" t="n">
        <f aca="false">$L$6*H11+(IF(J11="SIM",$J$6,0))</f>
        <v>1.65</v>
      </c>
      <c r="M11" s="66" t="n">
        <f aca="false">$M$6*H11+(IF(J11="SIM",$J$6,0))+(IF(K11="SIM",$K$6,0))</f>
        <v>1.65</v>
      </c>
      <c r="N11" s="66" t="n">
        <f aca="false">H11*12+I11*4+L11*2+M11</f>
        <v>30.15</v>
      </c>
      <c r="O11" s="67" t="n">
        <f aca="false">IF(K11="não", N11*(C$19+D$19),N11*(C$19+D$19)+(M11*+E$19))</f>
        <v>1703.475</v>
      </c>
      <c r="P11" s="68"/>
      <c r="Q11" s="22" t="str">
        <f aca="false">B11</f>
        <v>APS RIO NEGRO</v>
      </c>
      <c r="R11" s="24" t="n">
        <f aca="false">H11*($C$19+$D$19)</f>
        <v>84.75</v>
      </c>
      <c r="S11" s="24" t="n">
        <f aca="false">I11*($C$19+$D$19)</f>
        <v>101.7</v>
      </c>
      <c r="T11" s="24" t="n">
        <f aca="false">L11*($C$19+$D$19)</f>
        <v>93.225</v>
      </c>
      <c r="U11" s="24" t="n">
        <f aca="false">IF(K11="não",M11*($C$19+$D$19),M11*(C$19+D$19+E$19))</f>
        <v>93.225</v>
      </c>
      <c r="V11" s="24" t="n">
        <f aca="false">VLOOKUP(Q11,'Desl. Base Joinville'!$C$5:$S$13,13,FALSE())*($C$19+$D$19+$E$19*(VLOOKUP(Q11,'Desl. Base Joinville'!$C$5:$S$13,17,FALSE())/12))</f>
        <v>129.95</v>
      </c>
      <c r="W11" s="24" t="n">
        <f aca="false">VLOOKUP(Q11,'Desl. Base Joinville'!$C$5:$S$13,15,FALSE())*(2+(VLOOKUP(Q11,'Desl. Base Joinville'!$C$5:$S$13,17,FALSE())/12))</f>
        <v>0</v>
      </c>
      <c r="X11" s="24" t="n">
        <f aca="false">VLOOKUP(Q11,'Desl. Base Joinville'!$C$5:$Q$13,14,FALSE())</f>
        <v>0</v>
      </c>
      <c r="Y11" s="24" t="n">
        <f aca="false">VLOOKUP(Q11,'Desl. Base Joinville'!$C$5:Q$13,13,FALSE())*'Desl. Base Joinville'!$E$18+'Desl. Base Joinville'!$E$19*N11/12</f>
        <v>137.107875</v>
      </c>
      <c r="Z11" s="24" t="n">
        <f aca="false">(H11/$AC$5)*'Equipe Técnica'!$C$13</f>
        <v>344.021646143876</v>
      </c>
      <c r="AA11" s="24" t="n">
        <f aca="false">(I11/$AC$5)*'Equipe Técnica'!$C$13</f>
        <v>412.825975372651</v>
      </c>
      <c r="AB11" s="24" t="n">
        <f aca="false">(L11/$AC$5)*'Equipe Técnica'!$C$13</f>
        <v>378.423810758263</v>
      </c>
      <c r="AC11" s="24" t="n">
        <f aca="false">(M11/$AC$5)*'Equipe Técnica'!$C$13</f>
        <v>378.423810758263</v>
      </c>
      <c r="AD11" s="24" t="n">
        <f aca="false">R11+(($V11+$W11+$X11+$Y11)*12/19)+$Z11</f>
        <v>597.439777722823</v>
      </c>
      <c r="AE11" s="24" t="n">
        <f aca="false">S11+(($V11+$W11+$X11+$Y11)*12/19)+$AA11</f>
        <v>683.194106951598</v>
      </c>
      <c r="AF11" s="24" t="n">
        <f aca="false">T11+(($V11+$W11+$X11+$Y11)*12/19)+$AB11</f>
        <v>640.31694233721</v>
      </c>
      <c r="AG11" s="24" t="n">
        <f aca="false">U11+(($V11+$W11+$X11+$Y11)*12/19)+$AC11</f>
        <v>640.31694233721</v>
      </c>
      <c r="AH11" s="143"/>
      <c r="AI11" s="22" t="str">
        <f aca="false">B11</f>
        <v>APS RIO NEGRO</v>
      </c>
      <c r="AJ11" s="69" t="n">
        <f aca="false">VLOOKUP(AI11,Unidades!D$5:H$24,5,)</f>
        <v>0.2158</v>
      </c>
      <c r="AK11" s="48" t="n">
        <f aca="false">AD11*(1+$AJ11)</f>
        <v>726.367281755408</v>
      </c>
      <c r="AL11" s="48" t="n">
        <f aca="false">AE11*(1+$AJ11)</f>
        <v>830.627395231753</v>
      </c>
      <c r="AM11" s="48" t="n">
        <f aca="false">AF11*(1+$AJ11)</f>
        <v>778.49733849358</v>
      </c>
      <c r="AN11" s="48" t="n">
        <f aca="false">AG11*(1+$AJ11)</f>
        <v>778.49733849358</v>
      </c>
      <c r="AO11" s="48" t="n">
        <f aca="false">((AK11*12)+(AL11*4)+(AM11*2)+AN11)/12</f>
        <v>1197.86741478939</v>
      </c>
      <c r="AP11" s="48" t="n">
        <f aca="false">AO11*3</f>
        <v>3593.60224436816</v>
      </c>
      <c r="AQ11" s="48" t="n">
        <f aca="false">AO11+AP11</f>
        <v>4791.46965915755</v>
      </c>
      <c r="AR11" s="70"/>
      <c r="AS11" s="73" t="s">
        <v>88</v>
      </c>
      <c r="AT11" s="48" t="n">
        <f aca="false">AT10*12</f>
        <v>158147.402402817</v>
      </c>
      <c r="AU11" s="48"/>
      <c r="AV11" s="72"/>
      <c r="AW11" s="72"/>
    </row>
    <row r="12" customFormat="false" ht="15" hidden="false" customHeight="true" outlineLevel="0" collapsed="false">
      <c r="B12" s="64" t="s">
        <v>136</v>
      </c>
      <c r="C12" s="65" t="n">
        <f aca="false">VLOOKUP($B12,Unidades!$D$5:$N$24,6,FALSE())</f>
        <v>780.2</v>
      </c>
      <c r="D12" s="65" t="n">
        <f aca="false">VLOOKUP($B12,Unidades!$D$5:$N$24,7,FALSE())</f>
        <v>578.2</v>
      </c>
      <c r="E12" s="65" t="n">
        <f aca="false">VLOOKUP($B12,Unidades!$D$5:$N$24,8,FALSE())</f>
        <v>155</v>
      </c>
      <c r="F12" s="65" t="n">
        <f aca="false">VLOOKUP($B12,Unidades!$D$5:$N$24,9,FALSE())</f>
        <v>47</v>
      </c>
      <c r="G12" s="65" t="n">
        <f aca="false">D12+$E$6*E12+$F$6*F12</f>
        <v>637.15</v>
      </c>
      <c r="H12" s="66" t="n">
        <f aca="false">IF(G12&lt;750,1.5,IF(G12&lt;2000,2,3))</f>
        <v>1.5</v>
      </c>
      <c r="I12" s="66" t="n">
        <f aca="false">$I$6*H12</f>
        <v>1.8</v>
      </c>
      <c r="J12" s="66" t="str">
        <f aca="false">VLOOKUP($B12,Unidades!$D$5:$N$24,10,FALSE())</f>
        <v>NÃO</v>
      </c>
      <c r="K12" s="66" t="str">
        <f aca="false">VLOOKUP($B12,Unidades!$D$5:$N$24,11,FALSE())</f>
        <v>SIM</v>
      </c>
      <c r="L12" s="66" t="n">
        <f aca="false">$L$6*H12+(IF(J12="SIM",$J$6,0))</f>
        <v>1.65</v>
      </c>
      <c r="M12" s="66" t="n">
        <f aca="false">$M$6*H12+(IF(J12="SIM",$J$6,0))+(IF(K12="SIM",$K$6,0))</f>
        <v>5.65</v>
      </c>
      <c r="N12" s="66" t="n">
        <f aca="false">H12*12+I12*4+L12*2+M12</f>
        <v>34.15</v>
      </c>
      <c r="O12" s="67" t="n">
        <f aca="false">IF(K12="não", N12*(C$19+D$19),N12*(C$19+D$19)+(M12*+E$19))</f>
        <v>2161.6335</v>
      </c>
      <c r="P12" s="68"/>
      <c r="Q12" s="22" t="str">
        <f aca="false">B12</f>
        <v>APS SÃO BENTO DO SUL</v>
      </c>
      <c r="R12" s="24" t="n">
        <f aca="false">H12*($C$19+$D$19)</f>
        <v>84.75</v>
      </c>
      <c r="S12" s="24" t="n">
        <f aca="false">I12*($C$19+$D$19)</f>
        <v>101.7</v>
      </c>
      <c r="T12" s="24" t="n">
        <f aca="false">L12*($C$19+$D$19)</f>
        <v>93.225</v>
      </c>
      <c r="U12" s="24" t="n">
        <f aca="false">IF(K12="não",M12*($C$19+$D$19),M12*(C$19+D$19+E$19))</f>
        <v>551.3835</v>
      </c>
      <c r="V12" s="24" t="n">
        <f aca="false">VLOOKUP(Q12,'Desl. Base Joinville'!$C$5:$S$13,13,FALSE())*($C$19+$D$19+$E$19*(VLOOKUP(Q12,'Desl. Base Joinville'!$C$5:$S$13,17,FALSE())/12))</f>
        <v>186.264284722222</v>
      </c>
      <c r="W12" s="24" t="n">
        <f aca="false">VLOOKUP(Q12,'Desl. Base Joinville'!$C$5:$S$13,15,FALSE())*(2+(VLOOKUP(Q12,'Desl. Base Joinville'!$C$5:$S$13,17,FALSE())/12))</f>
        <v>0</v>
      </c>
      <c r="X12" s="24" t="n">
        <f aca="false">VLOOKUP(Q12,'Desl. Base Joinville'!$C$5:$Q$13,14,FALSE())</f>
        <v>0</v>
      </c>
      <c r="Y12" s="24" t="n">
        <f aca="false">VLOOKUP(Q12,'Desl. Base Joinville'!$C$5:Q$13,13,FALSE())*'Desl. Base Joinville'!$E$18+'Desl. Base Joinville'!$E$19*N12/12</f>
        <v>181.474041666667</v>
      </c>
      <c r="Z12" s="24" t="n">
        <f aca="false">(H12/$AC$5)*'Equipe Técnica'!$C$13</f>
        <v>344.021646143876</v>
      </c>
      <c r="AA12" s="24" t="n">
        <f aca="false">(I12/$AC$5)*'Equipe Técnica'!$C$13</f>
        <v>412.825975372651</v>
      </c>
      <c r="AB12" s="24" t="n">
        <f aca="false">(L12/$AC$5)*'Equipe Técnica'!$C$13</f>
        <v>378.423810758263</v>
      </c>
      <c r="AC12" s="24" t="n">
        <f aca="false">(M12/$AC$5)*'Equipe Técnica'!$C$13</f>
        <v>1295.81486714193</v>
      </c>
      <c r="AD12" s="24" t="n">
        <f aca="false">R12+(($V12+$W12+$X12+$Y12)*12/19)+$Z12</f>
        <v>661.027431231595</v>
      </c>
      <c r="AE12" s="24" t="n">
        <f aca="false">S12+(($V12+$W12+$X12+$Y12)*12/19)+$AA12</f>
        <v>746.78176046037</v>
      </c>
      <c r="AF12" s="24" t="n">
        <f aca="false">T12+(($V12+$W12+$X12+$Y12)*12/19)+$AB12</f>
        <v>703.904595845982</v>
      </c>
      <c r="AG12" s="24" t="n">
        <f aca="false">U12+(($V12+$W12+$X12+$Y12)*12/19)+$AC12</f>
        <v>2079.45415222965</v>
      </c>
      <c r="AH12" s="143"/>
      <c r="AI12" s="22" t="str">
        <f aca="false">B12</f>
        <v>APS SÃO BENTO DO SUL</v>
      </c>
      <c r="AJ12" s="69" t="n">
        <f aca="false">VLOOKUP(AI12,Unidades!D$5:H$24,5,)</f>
        <v>0.2223</v>
      </c>
      <c r="AK12" s="48" t="n">
        <f aca="false">AD12*(1+$AJ12)</f>
        <v>807.973829194378</v>
      </c>
      <c r="AL12" s="48" t="n">
        <f aca="false">AE12*(1+$AJ12)</f>
        <v>912.79134581071</v>
      </c>
      <c r="AM12" s="48" t="n">
        <f aca="false">AF12*(1+$AJ12)</f>
        <v>860.382587502544</v>
      </c>
      <c r="AN12" s="48" t="n">
        <f aca="false">AG12*(1+$AJ12)</f>
        <v>2541.7168102703</v>
      </c>
      <c r="AO12" s="48" t="n">
        <f aca="false">((AK12*12)+(AL12*4)+(AM12*2)+AN12)/12</f>
        <v>1467.44444323756</v>
      </c>
      <c r="AP12" s="48" t="n">
        <f aca="false">AO12*3</f>
        <v>4402.33332971269</v>
      </c>
      <c r="AQ12" s="48" t="n">
        <f aca="false">AO12+AP12</f>
        <v>5869.77777295026</v>
      </c>
      <c r="AR12" s="70"/>
      <c r="AS12" s="73" t="s">
        <v>73</v>
      </c>
      <c r="AT12" s="48" t="n">
        <f aca="false">AT10*3</f>
        <v>39536.8506007044</v>
      </c>
      <c r="AU12" s="48"/>
      <c r="AV12" s="70"/>
      <c r="AW12" s="70"/>
    </row>
    <row r="13" customFormat="false" ht="15" hidden="false" customHeight="true" outlineLevel="0" collapsed="false">
      <c r="B13" s="64" t="s">
        <v>137</v>
      </c>
      <c r="C13" s="65" t="n">
        <f aca="false">VLOOKUP($B13,Unidades!$D$5:$N$24,6,FALSE())</f>
        <v>389.8</v>
      </c>
      <c r="D13" s="65" t="n">
        <f aca="false">VLOOKUP($B13,Unidades!$D$5:$N$24,7,FALSE())</f>
        <v>349.8</v>
      </c>
      <c r="E13" s="65" t="n">
        <f aca="false">VLOOKUP($B13,Unidades!$D$5:$N$24,8,FALSE())</f>
        <v>40</v>
      </c>
      <c r="F13" s="65" t="n">
        <f aca="false">VLOOKUP($B13,Unidades!$D$5:$N$24,9,FALSE())</f>
        <v>0</v>
      </c>
      <c r="G13" s="65" t="n">
        <f aca="false">D13+$E$6*E13+$F$6*F13</f>
        <v>363.8</v>
      </c>
      <c r="H13" s="66" t="n">
        <f aca="false">IF(G13&lt;750,1.5,IF(G13&lt;2000,2,3))</f>
        <v>1.5</v>
      </c>
      <c r="I13" s="66" t="n">
        <f aca="false">$I$6*H13</f>
        <v>1.8</v>
      </c>
      <c r="J13" s="66" t="str">
        <f aca="false">VLOOKUP($B13,Unidades!$D$5:$N$24,10,FALSE())</f>
        <v>NÃO</v>
      </c>
      <c r="K13" s="66" t="str">
        <f aca="false">VLOOKUP($B13,Unidades!$D$5:$N$24,11,FALSE())</f>
        <v>NÃO</v>
      </c>
      <c r="L13" s="66" t="n">
        <f aca="false">$L$6*H13+(IF(J13="SIM",$J$6,0))</f>
        <v>1.65</v>
      </c>
      <c r="M13" s="66" t="n">
        <f aca="false">$M$6*H13+(IF(J13="SIM",$J$6,0))+(IF(K13="SIM",$K$6,0))</f>
        <v>1.65</v>
      </c>
      <c r="N13" s="66" t="n">
        <f aca="false">H13*12+I13*4+L13*2+M13</f>
        <v>30.15</v>
      </c>
      <c r="O13" s="67" t="n">
        <f aca="false">IF(K13="não", N13*(C$19+D$19),N13*(C$19+D$19)+(M13*+E$19))</f>
        <v>1703.475</v>
      </c>
      <c r="P13" s="68"/>
      <c r="Q13" s="22" t="str">
        <f aca="false">B13</f>
        <v>APS SÃO FRANCISCO DO SUL</v>
      </c>
      <c r="R13" s="24" t="n">
        <f aca="false">H13*($C$19+$D$19)</f>
        <v>84.75</v>
      </c>
      <c r="S13" s="24" t="n">
        <f aca="false">I13*($C$19+$D$19)</f>
        <v>101.7</v>
      </c>
      <c r="T13" s="24" t="n">
        <f aca="false">L13*($C$19+$D$19)</f>
        <v>93.225</v>
      </c>
      <c r="U13" s="24" t="n">
        <f aca="false">IF(K13="não",M13*($C$19+$D$19),M13*(C$19+D$19+E$19))</f>
        <v>93.225</v>
      </c>
      <c r="V13" s="24" t="n">
        <f aca="false">VLOOKUP(Q13,'Desl. Base Joinville'!$C$5:$S$13,13,FALSE())*($C$19+$D$19+$E$19*(VLOOKUP(Q13,'Desl. Base Joinville'!$C$5:$S$13,17,FALSE())/12))</f>
        <v>107.35</v>
      </c>
      <c r="W13" s="24" t="n">
        <f aca="false">VLOOKUP(Q13,'Desl. Base Joinville'!$C$5:$S$13,15,FALSE())*(2+(VLOOKUP(Q13,'Desl. Base Joinville'!$C$5:$S$13,17,FALSE())/12))</f>
        <v>0</v>
      </c>
      <c r="X13" s="24" t="n">
        <f aca="false">VLOOKUP(Q13,'Desl. Base Joinville'!$C$5:$Q$13,14,FALSE())</f>
        <v>0</v>
      </c>
      <c r="Y13" s="24" t="n">
        <f aca="false">VLOOKUP(Q13,'Desl. Base Joinville'!$C$5:Q$13,13,FALSE())*'Desl. Base Joinville'!$E$18+'Desl. Base Joinville'!$E$19*N13/12</f>
        <v>116.299875</v>
      </c>
      <c r="Z13" s="24" t="n">
        <f aca="false">(H13/$AC$5)*'Equipe Técnica'!$C$13</f>
        <v>344.021646143876</v>
      </c>
      <c r="AA13" s="24" t="n">
        <f aca="false">(I13/$AC$5)*'Equipe Técnica'!$C$13</f>
        <v>412.825975372651</v>
      </c>
      <c r="AB13" s="24" t="n">
        <f aca="false">(L13/$AC$5)*'Equipe Técnica'!$C$13</f>
        <v>378.423810758263</v>
      </c>
      <c r="AC13" s="24" t="n">
        <f aca="false">(M13/$AC$5)*'Equipe Técnica'!$C$13</f>
        <v>378.423810758263</v>
      </c>
      <c r="AD13" s="24" t="n">
        <f aca="false">R13+(($V13+$W13+$X13+$Y13)*12/19)+$Z13</f>
        <v>570.024198775455</v>
      </c>
      <c r="AE13" s="24" t="n">
        <f aca="false">S13+(($V13+$W13+$X13+$Y13)*12/19)+$AA13</f>
        <v>655.77852800423</v>
      </c>
      <c r="AF13" s="24" t="n">
        <f aca="false">T13+(($V13+$W13+$X13+$Y13)*12/19)+$AB13</f>
        <v>612.901363389842</v>
      </c>
      <c r="AG13" s="24" t="n">
        <f aca="false">U13+(($V13+$W13+$X13+$Y13)*12/19)+$AC13</f>
        <v>612.901363389842</v>
      </c>
      <c r="AH13" s="143"/>
      <c r="AI13" s="22" t="str">
        <f aca="false">B13</f>
        <v>APS SÃO FRANCISCO DO SUL</v>
      </c>
      <c r="AJ13" s="69" t="n">
        <f aca="false">VLOOKUP(AI13,Unidades!D$5:H$24,5,)</f>
        <v>0.2354</v>
      </c>
      <c r="AK13" s="48" t="n">
        <f aca="false">AD13*(1+$AJ13)</f>
        <v>704.207895167197</v>
      </c>
      <c r="AL13" s="48" t="n">
        <f aca="false">AE13*(1+$AJ13)</f>
        <v>810.148793496425</v>
      </c>
      <c r="AM13" s="48" t="n">
        <f aca="false">AF13*(1+$AJ13)</f>
        <v>757.178344331811</v>
      </c>
      <c r="AN13" s="48" t="n">
        <f aca="false">AG13*(1+$AJ13)</f>
        <v>757.178344331811</v>
      </c>
      <c r="AO13" s="48" t="n">
        <f aca="false">((AK13*12)+(AL13*4)+(AM13*2)+AN13)/12</f>
        <v>1163.55207908229</v>
      </c>
      <c r="AP13" s="48" t="n">
        <f aca="false">AO13*3</f>
        <v>3490.65623724687</v>
      </c>
      <c r="AQ13" s="48" t="n">
        <f aca="false">AO13+AP13</f>
        <v>4654.20831632916</v>
      </c>
      <c r="AR13" s="70"/>
      <c r="AS13" s="73" t="s">
        <v>91</v>
      </c>
      <c r="AT13" s="48" t="n">
        <f aca="false">AT12*12</f>
        <v>474442.207208452</v>
      </c>
      <c r="AU13" s="48"/>
      <c r="AV13" s="72"/>
      <c r="AW13" s="72"/>
    </row>
    <row r="14" customFormat="false" ht="15" hidden="false" customHeight="true" outlineLevel="0" collapsed="false">
      <c r="B14" s="64" t="s">
        <v>138</v>
      </c>
      <c r="C14" s="65" t="n">
        <f aca="false">VLOOKUP($B14,Unidades!$D$5:$N$24,6,FALSE())</f>
        <v>3091</v>
      </c>
      <c r="D14" s="65" t="n">
        <f aca="false">VLOOKUP($B14,Unidades!$D$5:$N$24,7,FALSE())</f>
        <v>2231.68</v>
      </c>
      <c r="E14" s="65" t="n">
        <f aca="false">VLOOKUP($B14,Unidades!$D$5:$N$24,8,FALSE())</f>
        <v>859.32</v>
      </c>
      <c r="F14" s="65" t="n">
        <f aca="false">VLOOKUP($B14,Unidades!$D$5:$N$24,9,FALSE())</f>
        <v>0</v>
      </c>
      <c r="G14" s="65" t="n">
        <f aca="false">D14+$E$6*E14+$F$6*F14</f>
        <v>2532.442</v>
      </c>
      <c r="H14" s="66" t="n">
        <f aca="false">IF(G14&lt;750,1.5,IF(G14&lt;2000,2,3))</f>
        <v>3</v>
      </c>
      <c r="I14" s="66" t="n">
        <f aca="false">$I$6*H14</f>
        <v>3.6</v>
      </c>
      <c r="J14" s="66" t="str">
        <f aca="false">VLOOKUP($B14,Unidades!$D$5:$N$24,10,FALSE())</f>
        <v>NÃO</v>
      </c>
      <c r="K14" s="66" t="str">
        <f aca="false">VLOOKUP($B14,Unidades!$D$5:$N$24,11,FALSE())</f>
        <v>SIM</v>
      </c>
      <c r="L14" s="66" t="n">
        <f aca="false">$L$6*H14+(IF(J14="SIM",$J$6,0))</f>
        <v>3.3</v>
      </c>
      <c r="M14" s="66" t="n">
        <f aca="false">$M$6*H14+(IF(J14="SIM",$J$6,0))+(IF(K14="SIM",$K$6,0))</f>
        <v>7.3</v>
      </c>
      <c r="N14" s="66" t="n">
        <f aca="false">H14*12+I14*4+L14*2+M14</f>
        <v>64.3</v>
      </c>
      <c r="O14" s="67" t="n">
        <f aca="false">IF(K14="não", N14*(C$19+D$19),N14*(C$19+D$19)+(M14*+E$19))</f>
        <v>3932.907</v>
      </c>
      <c r="P14" s="68"/>
      <c r="Q14" s="22" t="str">
        <f aca="false">B14</f>
        <v>GEX/APS JOINVILLE</v>
      </c>
      <c r="R14" s="24" t="n">
        <f aca="false">H14*($C$19+$D$19)</f>
        <v>169.5</v>
      </c>
      <c r="S14" s="24" t="n">
        <f aca="false">I14*($C$19+$D$19)</f>
        <v>203.4</v>
      </c>
      <c r="T14" s="24" t="n">
        <f aca="false">L14*($C$19+$D$19)</f>
        <v>186.45</v>
      </c>
      <c r="U14" s="24" t="n">
        <f aca="false">IF(K14="não",M14*($C$19+$D$19),M14*(C$19+D$19+E$19))</f>
        <v>712.407</v>
      </c>
      <c r="V14" s="24" t="n">
        <f aca="false">VLOOKUP(Q14,'Desl. Base Joinville'!$C$5:$S$13,13,FALSE())*($C$19+$D$19+$E$19*(VLOOKUP(Q14,'Desl. Base Joinville'!$C$5:$S$13,17,FALSE())/12))</f>
        <v>5.99241666666667</v>
      </c>
      <c r="W14" s="24" t="n">
        <f aca="false">VLOOKUP(Q14,'Desl. Base Joinville'!$C$5:$S$13,15,FALSE())*(2+(VLOOKUP(Q14,'Desl. Base Joinville'!$C$5:$S$13,17,FALSE())/12))</f>
        <v>0</v>
      </c>
      <c r="X14" s="24" t="n">
        <f aca="false">VLOOKUP(Q14,'Desl. Base Joinville'!$C$5:$Q$13,14,FALSE())</f>
        <v>0</v>
      </c>
      <c r="Y14" s="24" t="n">
        <f aca="false">VLOOKUP(Q14,'Desl. Base Joinville'!$C$5:Q$13,13,FALSE())*'Desl. Base Joinville'!$E$18+'Desl. Base Joinville'!$E$19*N14/12</f>
        <v>42.4424166666667</v>
      </c>
      <c r="Z14" s="24" t="n">
        <f aca="false">(H14/$AC$5)*'Equipe Técnica'!$C$13</f>
        <v>688.043292287751</v>
      </c>
      <c r="AA14" s="24" t="n">
        <f aca="false">(I14/$AC$5)*'Equipe Técnica'!$C$13</f>
        <v>825.651950745301</v>
      </c>
      <c r="AB14" s="24" t="n">
        <f aca="false">(L14/$AC$5)*'Equipe Técnica'!$C$13</f>
        <v>756.847621516526</v>
      </c>
      <c r="AC14" s="24" t="n">
        <f aca="false">(M14/$AC$5)*'Equipe Técnica'!$C$13</f>
        <v>1674.23867790019</v>
      </c>
      <c r="AD14" s="24" t="n">
        <f aca="false">R14+(($V14+$W14+$X14+$Y14)*12/19)+$Z14</f>
        <v>888.133713340383</v>
      </c>
      <c r="AE14" s="24" t="n">
        <f aca="false">S14+(($V14+$W14+$X14+$Y14)*12/19)+$AA14</f>
        <v>1059.64237179793</v>
      </c>
      <c r="AF14" s="24" t="n">
        <f aca="false">T14+(($V14+$W14+$X14+$Y14)*12/19)+$AB14</f>
        <v>973.888042569158</v>
      </c>
      <c r="AG14" s="24" t="n">
        <f aca="false">U14+(($V14+$W14+$X14+$Y14)*12/19)+$AC14</f>
        <v>2417.23609895283</v>
      </c>
      <c r="AH14" s="143"/>
      <c r="AI14" s="22" t="str">
        <f aca="false">B14</f>
        <v>GEX/APS JOINVILLE</v>
      </c>
      <c r="AJ14" s="69" t="n">
        <f aca="false">VLOOKUP(AI14,Unidades!D$5:H$24,5,)</f>
        <v>0.2223</v>
      </c>
      <c r="AK14" s="48" t="n">
        <f aca="false">AD14*(1+$AJ14)</f>
        <v>1085.56583781595</v>
      </c>
      <c r="AL14" s="48" t="n">
        <f aca="false">AE14*(1+$AJ14)</f>
        <v>1295.20087104861</v>
      </c>
      <c r="AM14" s="48" t="n">
        <f aca="false">AF14*(1+$AJ14)</f>
        <v>1190.38335443228</v>
      </c>
      <c r="AN14" s="48" t="n">
        <f aca="false">AG14*(1+$AJ14)</f>
        <v>2954.58768375004</v>
      </c>
      <c r="AO14" s="48" t="n">
        <f aca="false">((AK14*12)+(AL14*4)+(AM14*2)+AN14)/12</f>
        <v>1961.91232755004</v>
      </c>
      <c r="AP14" s="48" t="n">
        <f aca="false">AO14*3</f>
        <v>5885.73698265011</v>
      </c>
      <c r="AQ14" s="48" t="n">
        <f aca="false">AO14+AP14</f>
        <v>7847.64931020015</v>
      </c>
      <c r="AR14" s="70"/>
      <c r="AS14" s="73" t="s">
        <v>93</v>
      </c>
      <c r="AT14" s="48" t="n">
        <f aca="false">AT10+AT12</f>
        <v>52715.8008009391</v>
      </c>
      <c r="AU14" s="48"/>
      <c r="AV14" s="72"/>
      <c r="AW14" s="72"/>
    </row>
    <row r="15" customFormat="false" ht="15" hidden="false" customHeight="true" outlineLevel="0" collapsed="false">
      <c r="B15" s="64" t="s">
        <v>139</v>
      </c>
      <c r="C15" s="65" t="n">
        <f aca="false">VLOOKUP($B15,Unidades!$D$5:$N$24,6,FALSE())</f>
        <v>873</v>
      </c>
      <c r="D15" s="65" t="n">
        <f aca="false">VLOOKUP($B15,Unidades!$D$5:$N$24,7,FALSE())</f>
        <v>0</v>
      </c>
      <c r="E15" s="65" t="n">
        <f aca="false">VLOOKUP($B15,Unidades!$D$5:$N$24,8,FALSE())</f>
        <v>873</v>
      </c>
      <c r="F15" s="65" t="n">
        <f aca="false">VLOOKUP($B15,Unidades!$D$5:$N$24,9,FALSE())</f>
        <v>0</v>
      </c>
      <c r="G15" s="65" t="n">
        <f aca="false">D15+$E$6*E15+$F$6*F15</f>
        <v>305.55</v>
      </c>
      <c r="H15" s="66" t="n">
        <f aca="false">IF(G15&lt;750,1.5,IF(G15&lt;2000,2,3))</f>
        <v>1.5</v>
      </c>
      <c r="I15" s="66" t="n">
        <f aca="false">$I$6*H15</f>
        <v>1.8</v>
      </c>
      <c r="J15" s="66" t="str">
        <f aca="false">VLOOKUP($B15,Unidades!$D$5:$N$24,10,FALSE())</f>
        <v>SIM</v>
      </c>
      <c r="K15" s="66" t="str">
        <f aca="false">VLOOKUP($B15,Unidades!$D$5:$N$24,11,FALSE())</f>
        <v>SIM</v>
      </c>
      <c r="L15" s="66" t="n">
        <f aca="false">$L$6*H15+(IF(J15="SIM",$J$6,0))</f>
        <v>3.65</v>
      </c>
      <c r="M15" s="66" t="n">
        <f aca="false">$M$6*H15+(IF(J15="SIM",$J$6,0))+(IF(K15="SIM",$K$6,0))</f>
        <v>7.65</v>
      </c>
      <c r="N15" s="66" t="n">
        <f aca="false">H15*12+I15*4+L15*2+M15</f>
        <v>40.15</v>
      </c>
      <c r="O15" s="67" t="n">
        <f aca="false">IF(K15="não", N15*(C$19+D$19),N15*(C$19+D$19)+(M15*+E$19))</f>
        <v>2582.8135</v>
      </c>
      <c r="P15" s="68"/>
      <c r="Q15" s="22" t="str">
        <f aca="false">B15</f>
        <v>DEPÓSITO JOINVILLE - GUANABARA</v>
      </c>
      <c r="R15" s="24" t="n">
        <f aca="false">H15*($C$19+$D$19)</f>
        <v>84.75</v>
      </c>
      <c r="S15" s="24" t="n">
        <f aca="false">I15*($C$19+$D$19)</f>
        <v>101.7</v>
      </c>
      <c r="T15" s="24" t="n">
        <f aca="false">L15*($C$19+$D$19)</f>
        <v>206.225</v>
      </c>
      <c r="U15" s="24" t="n">
        <f aca="false">IF(K15="não",M15*($C$19+$D$19),M15*(C$19+D$19+E$19))</f>
        <v>746.5635</v>
      </c>
      <c r="V15" s="24" t="n">
        <f aca="false">VLOOKUP(Q15,'Desl. Base Joinville'!$C$5:$S$13,13,FALSE())*($C$19+$D$19+$E$19*(VLOOKUP(Q15,'Desl. Base Joinville'!$C$5:$S$13,17,FALSE())/12))</f>
        <v>5.99241666666667</v>
      </c>
      <c r="W15" s="24" t="n">
        <f aca="false">VLOOKUP(Q15,'Desl. Base Joinville'!$C$5:$S$13,15,FALSE())*(2+(VLOOKUP(Q15,'Desl. Base Joinville'!$C$5:$S$13,17,FALSE())/12))</f>
        <v>0</v>
      </c>
      <c r="X15" s="24" t="n">
        <f aca="false">VLOOKUP(Q15,'Desl. Base Joinville'!$C$5:$Q$13,14,FALSE())</f>
        <v>0</v>
      </c>
      <c r="Y15" s="24" t="n">
        <f aca="false">VLOOKUP(Q15,'Desl. Base Joinville'!$C$5:Q$13,13,FALSE())*'Desl. Base Joinville'!$E$18+'Desl. Base Joinville'!$E$19*N15/12</f>
        <v>28.4555416666667</v>
      </c>
      <c r="Z15" s="24" t="n">
        <f aca="false">(H15/$AC$5)*'Equipe Técnica'!$C$13</f>
        <v>344.021646143876</v>
      </c>
      <c r="AA15" s="24" t="n">
        <f aca="false">(I15/$AC$5)*'Equipe Técnica'!$C$13</f>
        <v>412.825975372651</v>
      </c>
      <c r="AB15" s="24" t="n">
        <f aca="false">(L15/$AC$5)*'Equipe Técnica'!$C$13</f>
        <v>837.119338950097</v>
      </c>
      <c r="AC15" s="24" t="n">
        <f aca="false">(M15/$AC$5)*'Equipe Técnica'!$C$13</f>
        <v>1754.51039533377</v>
      </c>
      <c r="AD15" s="24" t="n">
        <f aca="false">R15+(($V15+$W15+$X15+$Y15)*12/19)+$Z15</f>
        <v>450.528251407034</v>
      </c>
      <c r="AE15" s="24" t="n">
        <f aca="false">S15+(($V15+$W15+$X15+$Y15)*12/19)+$AA15</f>
        <v>536.282580635809</v>
      </c>
      <c r="AF15" s="24" t="n">
        <f aca="false">T15+(($V15+$W15+$X15+$Y15)*12/19)+$AB15</f>
        <v>1065.10094421326</v>
      </c>
      <c r="AG15" s="24" t="n">
        <f aca="false">U15+(($V15+$W15+$X15+$Y15)*12/19)+$AC15</f>
        <v>2522.83050059692</v>
      </c>
      <c r="AH15" s="143"/>
      <c r="AI15" s="22" t="str">
        <f aca="false">B15</f>
        <v>DEPÓSITO JOINVILLE - GUANABARA</v>
      </c>
      <c r="AJ15" s="69" t="n">
        <f aca="false">VLOOKUP(AI15,Unidades!D$5:H$24,5,)</f>
        <v>0.2223</v>
      </c>
      <c r="AK15" s="48" t="n">
        <f aca="false">AD15*(1+$AJ15)</f>
        <v>550.680681694817</v>
      </c>
      <c r="AL15" s="48" t="n">
        <f aca="false">AE15*(1+$AJ15)</f>
        <v>655.498198311149</v>
      </c>
      <c r="AM15" s="48" t="n">
        <f aca="false">AF15*(1+$AJ15)</f>
        <v>1301.87288411186</v>
      </c>
      <c r="AN15" s="48" t="n">
        <f aca="false">AG15*(1+$AJ15)</f>
        <v>3083.65572087962</v>
      </c>
      <c r="AO15" s="48" t="n">
        <f aca="false">((AK15*12)+(AL15*4)+(AM15*2)+AN15)/12</f>
        <v>1243.13020522381</v>
      </c>
      <c r="AP15" s="48" t="n">
        <f aca="false">AO15*3</f>
        <v>3729.39061567144</v>
      </c>
      <c r="AQ15" s="48" t="n">
        <f aca="false">AO15+AP15</f>
        <v>4972.52082089525</v>
      </c>
      <c r="AR15" s="70"/>
      <c r="AS15" s="73" t="s">
        <v>95</v>
      </c>
      <c r="AT15" s="48" t="n">
        <f aca="false">AT11+AT13</f>
        <v>632589.60961127</v>
      </c>
      <c r="AU15" s="48"/>
      <c r="AV15" s="70"/>
      <c r="AW15" s="70"/>
    </row>
    <row r="16" customFormat="false" ht="19.5" hidden="false" customHeight="true" outlineLevel="0" collapsed="false">
      <c r="A16" s="144"/>
      <c r="B16" s="9"/>
      <c r="C16" s="74" t="n">
        <f aca="false">SUM(C7:C15)</f>
        <v>10788.9</v>
      </c>
      <c r="D16" s="74" t="n">
        <f aca="false">SUM(D7:D15)</f>
        <v>6004.78</v>
      </c>
      <c r="E16" s="74" t="n">
        <f aca="false">SUM(E7:E15)</f>
        <v>3921.12</v>
      </c>
      <c r="F16" s="74" t="n">
        <f aca="false">SUM(F7:F15)</f>
        <v>863</v>
      </c>
      <c r="G16" s="74" t="n">
        <f aca="false">SUM(G7:G15)</f>
        <v>7463.472</v>
      </c>
      <c r="H16" s="75" t="n">
        <f aca="false">SUM(H7:H15)</f>
        <v>16.5</v>
      </c>
      <c r="I16" s="75" t="n">
        <f aca="false">SUM(I7:I15)</f>
        <v>19.8</v>
      </c>
      <c r="J16" s="75" t="n">
        <f aca="false">COUNTIF(J7:J15,"SIM")</f>
        <v>3</v>
      </c>
      <c r="K16" s="75" t="n">
        <f aca="false">COUNTIF(K7:K15,"SIM")</f>
        <v>5</v>
      </c>
      <c r="L16" s="75" t="n">
        <f aca="false">SUM(L7:L15)</f>
        <v>24.15</v>
      </c>
      <c r="M16" s="75" t="n">
        <f aca="false">SUM(M7:M15)</f>
        <v>44.15</v>
      </c>
      <c r="N16" s="75" t="n">
        <f aca="false">SUM(N7:N15)</f>
        <v>369.65</v>
      </c>
      <c r="O16" s="76" t="n">
        <f aca="false">SUM(O7:O15)</f>
        <v>22405.555</v>
      </c>
      <c r="P16" s="145"/>
      <c r="Q16" s="146" t="s">
        <v>98</v>
      </c>
      <c r="R16" s="78" t="n">
        <f aca="false">SUM(R7:R15)</f>
        <v>932.25</v>
      </c>
      <c r="S16" s="78" t="n">
        <f aca="false">SUM(S7:S15)</f>
        <v>1118.7</v>
      </c>
      <c r="T16" s="78" t="n">
        <f aca="false">SUM(T7:T15)</f>
        <v>1364.475</v>
      </c>
      <c r="U16" s="78" t="n">
        <f aca="false">SUM(U7:U15)</f>
        <v>4014.805</v>
      </c>
      <c r="V16" s="78" t="n">
        <f aca="false">SUM(V7:V15)</f>
        <v>853.634486111111</v>
      </c>
      <c r="W16" s="78" t="n">
        <f aca="false">SUM(W7:W15)</f>
        <v>0</v>
      </c>
      <c r="X16" s="78" t="n">
        <f aca="false">SUM(X7:X15)</f>
        <v>0</v>
      </c>
      <c r="Y16" s="78" t="n">
        <f aca="false">SUM(Y7:Y15)</f>
        <v>974.447958333333</v>
      </c>
      <c r="Z16" s="78" t="n">
        <f aca="false">SUM(Z7:Z15)</f>
        <v>3784.23810758263</v>
      </c>
      <c r="AA16" s="78" t="n">
        <f aca="false">SUM(AA7:AA15)</f>
        <v>4541.08572909916</v>
      </c>
      <c r="AB16" s="78" t="n">
        <f aca="false">SUM(AB7:AB15)</f>
        <v>5538.7485029164</v>
      </c>
      <c r="AC16" s="78" t="n">
        <f aca="false">SUM(AC7:AC15)</f>
        <v>10125.7037848347</v>
      </c>
      <c r="AD16" s="78" t="n">
        <f aca="false">SUM(AD7:AD15)</f>
        <v>5871.06649354754</v>
      </c>
      <c r="AE16" s="78" t="n">
        <f aca="false">SUM(AE7:AE15)</f>
        <v>6814.36411506407</v>
      </c>
      <c r="AF16" s="78" t="n">
        <f aca="false">SUM(AF7:AF15)</f>
        <v>8057.80188888131</v>
      </c>
      <c r="AG16" s="78" t="n">
        <f aca="false">SUM(AG7:AG15)</f>
        <v>15295.0871707996</v>
      </c>
      <c r="AH16" s="39"/>
      <c r="AI16" s="75" t="s">
        <v>98</v>
      </c>
      <c r="AJ16" s="75"/>
      <c r="AK16" s="79" t="n">
        <f aca="false">SUM(AK7:AK15)</f>
        <v>7190.39720478167</v>
      </c>
      <c r="AL16" s="79" t="n">
        <f aca="false">SUM(AL7:AL15)</f>
        <v>8345.4537084181</v>
      </c>
      <c r="AM16" s="79" t="n">
        <f aca="false">SUM(AM7:AM15)</f>
        <v>9871.76500034584</v>
      </c>
      <c r="AN16" s="79" t="n">
        <f aca="false">SUM(AN7:AN15)</f>
        <v>18737.2911110732</v>
      </c>
      <c r="AO16" s="79" t="n">
        <f aca="false">SUM(AO7:AO15)</f>
        <v>13178.9502002348</v>
      </c>
      <c r="AP16" s="79" t="n">
        <f aca="false">SUM(AP7:AP15)</f>
        <v>39536.8506007044</v>
      </c>
      <c r="AQ16" s="79" t="n">
        <f aca="false">SUM(AQ7:AQ15)</f>
        <v>52715.8008009391</v>
      </c>
      <c r="AR16" s="70"/>
      <c r="AS16" s="70"/>
      <c r="AT16" s="70"/>
      <c r="AU16" s="70"/>
      <c r="AV16" s="70"/>
      <c r="AW16" s="70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144"/>
      <c r="BP16" s="144"/>
      <c r="BQ16" s="144"/>
      <c r="BR16" s="144"/>
      <c r="BS16" s="144"/>
      <c r="BT16" s="144"/>
      <c r="BU16" s="144"/>
      <c r="BV16" s="144"/>
      <c r="BW16" s="144"/>
      <c r="BX16" s="144"/>
      <c r="BY16" s="144"/>
      <c r="BZ16" s="144"/>
      <c r="CA16" s="144"/>
      <c r="CB16" s="144"/>
      <c r="CC16" s="144"/>
      <c r="CD16" s="144"/>
      <c r="CE16" s="144"/>
      <c r="CF16" s="144"/>
      <c r="CG16" s="144"/>
      <c r="CH16" s="144"/>
      <c r="CI16" s="144"/>
      <c r="CJ16" s="144"/>
      <c r="CK16" s="144"/>
      <c r="CL16" s="144"/>
      <c r="CM16" s="144"/>
      <c r="CN16" s="144"/>
      <c r="CO16" s="144"/>
      <c r="CP16" s="144"/>
      <c r="CQ16" s="144"/>
      <c r="CR16" s="144"/>
      <c r="CS16" s="144"/>
      <c r="CT16" s="144"/>
      <c r="CU16" s="144"/>
      <c r="CV16" s="144"/>
      <c r="CW16" s="144"/>
      <c r="CX16" s="144"/>
      <c r="CY16" s="144"/>
      <c r="CZ16" s="144"/>
      <c r="DA16" s="144"/>
      <c r="DB16" s="144"/>
      <c r="DC16" s="144"/>
      <c r="DD16" s="144"/>
      <c r="DE16" s="144"/>
      <c r="DF16" s="144"/>
      <c r="DG16" s="144"/>
      <c r="DH16" s="144"/>
      <c r="DI16" s="144"/>
      <c r="DJ16" s="144"/>
      <c r="DK16" s="144"/>
      <c r="DL16" s="144"/>
      <c r="DM16" s="144"/>
      <c r="DN16" s="144"/>
      <c r="DO16" s="144"/>
      <c r="DP16" s="144"/>
      <c r="DQ16" s="144"/>
      <c r="DR16" s="144"/>
      <c r="DS16" s="144"/>
      <c r="DT16" s="144"/>
      <c r="DU16" s="144"/>
      <c r="DV16" s="144"/>
      <c r="DW16" s="144"/>
      <c r="DX16" s="144"/>
      <c r="DY16" s="144"/>
      <c r="DZ16" s="144"/>
      <c r="EA16" s="144"/>
      <c r="EB16" s="144"/>
      <c r="EC16" s="144"/>
      <c r="ED16" s="144"/>
      <c r="EE16" s="144"/>
      <c r="EF16" s="144"/>
      <c r="EG16" s="144"/>
      <c r="EH16" s="144"/>
      <c r="EI16" s="144"/>
      <c r="EJ16" s="144"/>
      <c r="EK16" s="144"/>
      <c r="EL16" s="144"/>
      <c r="EM16" s="144"/>
      <c r="EN16" s="144"/>
      <c r="EO16" s="144"/>
      <c r="EP16" s="144"/>
      <c r="EQ16" s="144"/>
      <c r="ER16" s="144"/>
      <c r="ES16" s="144"/>
      <c r="ET16" s="144"/>
      <c r="EU16" s="144"/>
      <c r="EV16" s="144"/>
      <c r="EW16" s="144"/>
      <c r="EX16" s="144"/>
      <c r="EY16" s="144"/>
      <c r="EZ16" s="144"/>
      <c r="FA16" s="144"/>
      <c r="FB16" s="144"/>
      <c r="FC16" s="144"/>
      <c r="FD16" s="144"/>
      <c r="FE16" s="144"/>
      <c r="FF16" s="144"/>
      <c r="FG16" s="144"/>
      <c r="FH16" s="144"/>
      <c r="FI16" s="144"/>
      <c r="FJ16" s="144"/>
      <c r="FK16" s="144"/>
      <c r="FL16" s="144"/>
      <c r="FM16" s="144"/>
      <c r="FN16" s="144"/>
      <c r="FO16" s="144"/>
      <c r="FP16" s="144"/>
      <c r="FQ16" s="144"/>
      <c r="FR16" s="144"/>
      <c r="FS16" s="144"/>
      <c r="FT16" s="144"/>
      <c r="FU16" s="144"/>
      <c r="FV16" s="144"/>
      <c r="FW16" s="144"/>
      <c r="FX16" s="144"/>
      <c r="FY16" s="144"/>
      <c r="FZ16" s="144"/>
      <c r="GA16" s="144"/>
      <c r="GB16" s="144"/>
      <c r="GC16" s="144"/>
      <c r="GD16" s="144"/>
      <c r="GE16" s="144"/>
      <c r="GF16" s="144"/>
      <c r="GG16" s="144"/>
      <c r="GH16" s="144"/>
      <c r="GI16" s="144"/>
      <c r="GJ16" s="144"/>
      <c r="GK16" s="144"/>
      <c r="GL16" s="144"/>
      <c r="GM16" s="144"/>
      <c r="GN16" s="144"/>
      <c r="GO16" s="144"/>
      <c r="GP16" s="144"/>
      <c r="GQ16" s="144"/>
      <c r="GR16" s="144"/>
      <c r="GS16" s="144"/>
      <c r="GT16" s="144"/>
      <c r="GU16" s="144"/>
      <c r="GV16" s="144"/>
      <c r="GW16" s="144"/>
      <c r="GX16" s="144"/>
      <c r="GY16" s="144"/>
      <c r="GZ16" s="144"/>
      <c r="HA16" s="144"/>
      <c r="HB16" s="144"/>
      <c r="HC16" s="144"/>
      <c r="HD16" s="144"/>
      <c r="HE16" s="144"/>
      <c r="HF16" s="144"/>
      <c r="HG16" s="144"/>
      <c r="HH16" s="144"/>
      <c r="HI16" s="144"/>
      <c r="HJ16" s="144"/>
      <c r="HK16" s="144"/>
      <c r="HL16" s="144"/>
      <c r="HM16" s="144"/>
      <c r="HN16" s="144"/>
      <c r="HO16" s="144"/>
      <c r="HP16" s="144"/>
      <c r="HQ16" s="144"/>
      <c r="HR16" s="144"/>
      <c r="HS16" s="144"/>
      <c r="HT16" s="144"/>
      <c r="HU16" s="144"/>
      <c r="HV16" s="144"/>
      <c r="HW16" s="144"/>
      <c r="HX16" s="144"/>
      <c r="HY16" s="144"/>
      <c r="HZ16" s="144"/>
      <c r="IA16" s="144"/>
      <c r="IB16" s="144"/>
      <c r="IC16" s="144"/>
      <c r="ID16" s="144"/>
      <c r="IE16" s="144"/>
      <c r="IF16" s="144"/>
      <c r="IG16" s="144"/>
      <c r="IH16" s="144"/>
      <c r="II16" s="144"/>
      <c r="IJ16" s="144"/>
      <c r="IK16" s="144"/>
      <c r="IL16" s="144"/>
      <c r="IM16" s="144"/>
      <c r="IN16" s="144"/>
      <c r="IO16" s="144"/>
      <c r="IP16" s="144"/>
      <c r="IQ16" s="144"/>
      <c r="IR16" s="144"/>
      <c r="IS16" s="144"/>
      <c r="IT16" s="144"/>
      <c r="IU16" s="144"/>
      <c r="IV16" s="144"/>
      <c r="IW16" s="144"/>
      <c r="IX16" s="144"/>
      <c r="IY16" s="144"/>
      <c r="IZ16" s="144"/>
      <c r="JA16" s="144"/>
      <c r="JB16" s="144"/>
      <c r="JC16" s="144"/>
      <c r="JD16" s="144"/>
      <c r="JE16" s="144"/>
      <c r="JF16" s="144"/>
      <c r="JG16" s="144"/>
      <c r="JH16" s="144"/>
      <c r="JI16" s="144"/>
      <c r="JJ16" s="144"/>
      <c r="JK16" s="144"/>
      <c r="JL16" s="144"/>
      <c r="JM16" s="144"/>
      <c r="JN16" s="144"/>
      <c r="JO16" s="144"/>
      <c r="JP16" s="144"/>
      <c r="JQ16" s="144"/>
      <c r="JR16" s="144"/>
      <c r="JS16" s="144"/>
      <c r="JT16" s="144"/>
      <c r="JU16" s="144"/>
      <c r="JV16" s="144"/>
      <c r="JW16" s="144"/>
      <c r="JX16" s="144"/>
      <c r="JY16" s="144"/>
      <c r="JZ16" s="144"/>
      <c r="KA16" s="144"/>
      <c r="KB16" s="144"/>
      <c r="KC16" s="144"/>
      <c r="KD16" s="144"/>
      <c r="KE16" s="144"/>
      <c r="KF16" s="144"/>
      <c r="KG16" s="144"/>
      <c r="KH16" s="144"/>
      <c r="KI16" s="144"/>
      <c r="KJ16" s="144"/>
      <c r="KK16" s="144"/>
      <c r="KL16" s="144"/>
      <c r="KM16" s="144"/>
      <c r="KN16" s="144"/>
      <c r="KO16" s="144"/>
      <c r="KP16" s="144"/>
      <c r="KQ16" s="144"/>
      <c r="KR16" s="144"/>
      <c r="KS16" s="144"/>
      <c r="KT16" s="144"/>
      <c r="KU16" s="144"/>
      <c r="KV16" s="144"/>
      <c r="KW16" s="144"/>
      <c r="KX16" s="144"/>
      <c r="KY16" s="144"/>
      <c r="KZ16" s="144"/>
      <c r="LA16" s="144"/>
      <c r="LB16" s="144"/>
      <c r="LC16" s="144"/>
      <c r="LD16" s="144"/>
      <c r="LE16" s="144"/>
      <c r="LF16" s="144"/>
      <c r="LG16" s="144"/>
      <c r="LH16" s="144"/>
      <c r="LI16" s="144"/>
      <c r="LJ16" s="144"/>
      <c r="LK16" s="144"/>
      <c r="LL16" s="144"/>
      <c r="LM16" s="144"/>
      <c r="LN16" s="144"/>
      <c r="LO16" s="144"/>
      <c r="LP16" s="144"/>
      <c r="LQ16" s="144"/>
      <c r="LR16" s="144"/>
      <c r="LS16" s="144"/>
      <c r="LT16" s="144"/>
      <c r="LU16" s="144"/>
      <c r="LV16" s="144"/>
      <c r="LW16" s="144"/>
      <c r="LX16" s="144"/>
      <c r="LY16" s="144"/>
      <c r="LZ16" s="144"/>
      <c r="MA16" s="144"/>
      <c r="MB16" s="144"/>
      <c r="MC16" s="144"/>
      <c r="MD16" s="144"/>
      <c r="ME16" s="144"/>
      <c r="MF16" s="144"/>
      <c r="MG16" s="144"/>
      <c r="MH16" s="144"/>
      <c r="MI16" s="144"/>
      <c r="MJ16" s="144"/>
      <c r="MK16" s="144"/>
      <c r="ML16" s="144"/>
      <c r="MM16" s="144"/>
      <c r="MN16" s="144"/>
      <c r="MO16" s="144"/>
      <c r="MP16" s="144"/>
      <c r="MQ16" s="144"/>
      <c r="MR16" s="144"/>
      <c r="MS16" s="144"/>
      <c r="MT16" s="144"/>
      <c r="MU16" s="144"/>
      <c r="MV16" s="144"/>
      <c r="MW16" s="144"/>
      <c r="MX16" s="144"/>
      <c r="MY16" s="144"/>
      <c r="MZ16" s="144"/>
      <c r="NA16" s="144"/>
      <c r="NB16" s="144"/>
      <c r="NC16" s="144"/>
      <c r="ND16" s="144"/>
      <c r="NE16" s="144"/>
      <c r="NF16" s="144"/>
      <c r="NG16" s="144"/>
      <c r="NH16" s="144"/>
      <c r="NI16" s="144"/>
      <c r="NJ16" s="144"/>
      <c r="NK16" s="144"/>
      <c r="NL16" s="144"/>
      <c r="NM16" s="144"/>
      <c r="NN16" s="144"/>
      <c r="NO16" s="144"/>
      <c r="NP16" s="144"/>
      <c r="NQ16" s="144"/>
      <c r="NR16" s="144"/>
      <c r="NS16" s="144"/>
      <c r="NT16" s="144"/>
      <c r="NU16" s="144"/>
      <c r="NV16" s="144"/>
      <c r="NW16" s="144"/>
      <c r="NX16" s="144"/>
      <c r="NY16" s="144"/>
      <c r="NZ16" s="144"/>
      <c r="OA16" s="144"/>
      <c r="OB16" s="144"/>
      <c r="OC16" s="144"/>
      <c r="OD16" s="144"/>
      <c r="OE16" s="144"/>
      <c r="OF16" s="144"/>
      <c r="OG16" s="144"/>
      <c r="OH16" s="144"/>
      <c r="OI16" s="144"/>
      <c r="OJ16" s="144"/>
      <c r="OK16" s="144"/>
      <c r="OL16" s="144"/>
      <c r="OM16" s="144"/>
      <c r="ON16" s="144"/>
      <c r="OO16" s="144"/>
      <c r="OP16" s="144"/>
      <c r="OQ16" s="144"/>
      <c r="OR16" s="144"/>
      <c r="OS16" s="144"/>
      <c r="OT16" s="144"/>
      <c r="OU16" s="144"/>
      <c r="OV16" s="144"/>
      <c r="OW16" s="144"/>
      <c r="OX16" s="144"/>
      <c r="OY16" s="144"/>
      <c r="OZ16" s="144"/>
      <c r="PA16" s="144"/>
      <c r="PB16" s="144"/>
      <c r="PC16" s="144"/>
      <c r="PD16" s="144"/>
      <c r="PE16" s="144"/>
      <c r="PF16" s="144"/>
      <c r="PG16" s="144"/>
      <c r="PH16" s="144"/>
      <c r="PI16" s="144"/>
      <c r="PJ16" s="144"/>
      <c r="PK16" s="144"/>
      <c r="PL16" s="144"/>
      <c r="PM16" s="144"/>
      <c r="PN16" s="144"/>
      <c r="PO16" s="144"/>
      <c r="PP16" s="144"/>
      <c r="PQ16" s="144"/>
      <c r="PR16" s="144"/>
      <c r="PS16" s="144"/>
      <c r="PT16" s="144"/>
      <c r="PU16" s="144"/>
      <c r="PV16" s="144"/>
      <c r="PW16" s="144"/>
      <c r="PX16" s="144"/>
      <c r="PY16" s="144"/>
      <c r="PZ16" s="144"/>
      <c r="QA16" s="144"/>
      <c r="QB16" s="144"/>
      <c r="QC16" s="144"/>
      <c r="QD16" s="144"/>
      <c r="QE16" s="144"/>
      <c r="QF16" s="144"/>
      <c r="QG16" s="144"/>
      <c r="QH16" s="144"/>
      <c r="QI16" s="144"/>
      <c r="QJ16" s="144"/>
      <c r="QK16" s="144"/>
      <c r="QL16" s="144"/>
      <c r="QM16" s="144"/>
      <c r="QN16" s="144"/>
      <c r="QO16" s="144"/>
      <c r="QP16" s="144"/>
      <c r="QQ16" s="144"/>
      <c r="QR16" s="144"/>
      <c r="QS16" s="144"/>
      <c r="QT16" s="144"/>
      <c r="QU16" s="144"/>
      <c r="QV16" s="144"/>
      <c r="QW16" s="144"/>
      <c r="QX16" s="144"/>
      <c r="QY16" s="144"/>
      <c r="QZ16" s="144"/>
      <c r="RA16" s="144"/>
      <c r="RB16" s="144"/>
      <c r="RC16" s="144"/>
      <c r="RD16" s="144"/>
      <c r="RE16" s="144"/>
      <c r="RF16" s="144"/>
      <c r="RG16" s="144"/>
      <c r="RH16" s="144"/>
      <c r="RI16" s="144"/>
      <c r="RJ16" s="144"/>
      <c r="RK16" s="144"/>
      <c r="RL16" s="144"/>
      <c r="RM16" s="144"/>
      <c r="RN16" s="144"/>
      <c r="RO16" s="144"/>
      <c r="RP16" s="144"/>
      <c r="RQ16" s="144"/>
      <c r="RR16" s="144"/>
      <c r="RS16" s="144"/>
      <c r="RT16" s="144"/>
      <c r="RU16" s="144"/>
      <c r="RV16" s="144"/>
      <c r="RW16" s="144"/>
      <c r="RX16" s="144"/>
      <c r="RY16" s="144"/>
      <c r="RZ16" s="144"/>
      <c r="SA16" s="144"/>
      <c r="SB16" s="144"/>
      <c r="SC16" s="144"/>
      <c r="SD16" s="144"/>
      <c r="SE16" s="144"/>
      <c r="SF16" s="144"/>
      <c r="SG16" s="144"/>
      <c r="SH16" s="144"/>
      <c r="SI16" s="144"/>
      <c r="SJ16" s="144"/>
      <c r="SK16" s="144"/>
      <c r="SL16" s="144"/>
      <c r="SM16" s="144"/>
      <c r="SN16" s="144"/>
      <c r="SO16" s="144"/>
      <c r="SP16" s="144"/>
      <c r="SQ16" s="144"/>
      <c r="SR16" s="144"/>
      <c r="SS16" s="144"/>
      <c r="ST16" s="144"/>
      <c r="SU16" s="144"/>
      <c r="SV16" s="144"/>
      <c r="SW16" s="144"/>
      <c r="SX16" s="144"/>
      <c r="SY16" s="144"/>
      <c r="SZ16" s="144"/>
      <c r="TA16" s="144"/>
      <c r="TB16" s="144"/>
      <c r="TC16" s="144"/>
      <c r="TD16" s="144"/>
      <c r="TE16" s="144"/>
      <c r="TF16" s="144"/>
      <c r="TG16" s="144"/>
      <c r="TH16" s="144"/>
      <c r="TI16" s="144"/>
      <c r="TJ16" s="144"/>
      <c r="TK16" s="144"/>
      <c r="TL16" s="144"/>
      <c r="TM16" s="144"/>
      <c r="TN16" s="144"/>
      <c r="TO16" s="144"/>
      <c r="TP16" s="144"/>
      <c r="TQ16" s="144"/>
      <c r="TR16" s="144"/>
      <c r="TS16" s="144"/>
      <c r="TT16" s="144"/>
      <c r="TU16" s="144"/>
      <c r="TV16" s="144"/>
      <c r="TW16" s="144"/>
      <c r="TX16" s="144"/>
      <c r="TY16" s="144"/>
      <c r="TZ16" s="144"/>
      <c r="UA16" s="144"/>
      <c r="UB16" s="144"/>
      <c r="UC16" s="144"/>
      <c r="UD16" s="144"/>
      <c r="UE16" s="144"/>
      <c r="UF16" s="144"/>
      <c r="UG16" s="144"/>
      <c r="UH16" s="144"/>
      <c r="UI16" s="144"/>
      <c r="UJ16" s="144"/>
      <c r="UK16" s="144"/>
      <c r="UL16" s="144"/>
      <c r="UM16" s="144"/>
      <c r="UN16" s="144"/>
      <c r="UO16" s="144"/>
      <c r="UP16" s="144"/>
      <c r="UQ16" s="144"/>
      <c r="UR16" s="144"/>
      <c r="US16" s="144"/>
      <c r="UT16" s="144"/>
      <c r="UU16" s="144"/>
      <c r="UV16" s="144"/>
      <c r="UW16" s="144"/>
      <c r="UX16" s="144"/>
      <c r="UY16" s="144"/>
      <c r="UZ16" s="144"/>
      <c r="VA16" s="144"/>
      <c r="VB16" s="144"/>
      <c r="VC16" s="144"/>
      <c r="VD16" s="144"/>
      <c r="VE16" s="144"/>
      <c r="VF16" s="144"/>
      <c r="VG16" s="144"/>
      <c r="VH16" s="144"/>
      <c r="VI16" s="144"/>
      <c r="VJ16" s="144"/>
      <c r="VK16" s="144"/>
      <c r="VL16" s="144"/>
      <c r="VM16" s="144"/>
      <c r="VN16" s="144"/>
      <c r="VO16" s="144"/>
      <c r="VP16" s="144"/>
      <c r="VQ16" s="144"/>
      <c r="VR16" s="144"/>
      <c r="VS16" s="144"/>
      <c r="VT16" s="144"/>
      <c r="VU16" s="144"/>
      <c r="VV16" s="144"/>
      <c r="VW16" s="144"/>
      <c r="VX16" s="144"/>
      <c r="VY16" s="144"/>
      <c r="VZ16" s="144"/>
      <c r="WA16" s="144"/>
      <c r="WB16" s="144"/>
      <c r="WC16" s="144"/>
      <c r="WD16" s="144"/>
      <c r="WE16" s="144"/>
      <c r="WF16" s="144"/>
      <c r="WG16" s="144"/>
      <c r="WH16" s="144"/>
      <c r="WI16" s="144"/>
      <c r="WJ16" s="144"/>
      <c r="WK16" s="144"/>
      <c r="WL16" s="144"/>
      <c r="WM16" s="144"/>
      <c r="WN16" s="144"/>
      <c r="WO16" s="144"/>
      <c r="WP16" s="144"/>
      <c r="WQ16" s="144"/>
      <c r="WR16" s="144"/>
      <c r="WS16" s="144"/>
      <c r="WT16" s="144"/>
      <c r="WU16" s="144"/>
      <c r="WV16" s="144"/>
      <c r="WW16" s="144"/>
      <c r="WX16" s="144"/>
      <c r="WY16" s="144"/>
      <c r="WZ16" s="144"/>
      <c r="XA16" s="144"/>
      <c r="XB16" s="144"/>
      <c r="XC16" s="144"/>
      <c r="XD16" s="144"/>
      <c r="XE16" s="144"/>
      <c r="XF16" s="144"/>
      <c r="XG16" s="144"/>
      <c r="XH16" s="144"/>
      <c r="XI16" s="144"/>
      <c r="XJ16" s="144"/>
      <c r="XK16" s="144"/>
      <c r="XL16" s="144"/>
      <c r="XM16" s="144"/>
      <c r="XN16" s="144"/>
      <c r="XO16" s="144"/>
      <c r="XP16" s="144"/>
      <c r="XQ16" s="144"/>
      <c r="XR16" s="144"/>
      <c r="XS16" s="144"/>
      <c r="XT16" s="144"/>
      <c r="XU16" s="144"/>
      <c r="XV16" s="144"/>
      <c r="XW16" s="144"/>
      <c r="XX16" s="144"/>
      <c r="XY16" s="144"/>
      <c r="XZ16" s="144"/>
      <c r="YA16" s="144"/>
      <c r="YB16" s="144"/>
      <c r="YC16" s="144"/>
      <c r="YD16" s="144"/>
      <c r="YE16" s="144"/>
      <c r="YF16" s="144"/>
      <c r="YG16" s="144"/>
      <c r="YH16" s="144"/>
      <c r="YI16" s="144"/>
      <c r="YJ16" s="144"/>
      <c r="YK16" s="144"/>
      <c r="YL16" s="144"/>
      <c r="YM16" s="144"/>
      <c r="YN16" s="144"/>
      <c r="YO16" s="144"/>
      <c r="YP16" s="144"/>
      <c r="YQ16" s="144"/>
      <c r="YR16" s="144"/>
      <c r="YS16" s="144"/>
      <c r="YT16" s="144"/>
      <c r="YU16" s="144"/>
      <c r="YV16" s="144"/>
      <c r="YW16" s="144"/>
      <c r="YX16" s="144"/>
      <c r="YY16" s="144"/>
      <c r="YZ16" s="144"/>
      <c r="ZA16" s="144"/>
      <c r="ZB16" s="144"/>
      <c r="ZC16" s="144"/>
      <c r="ZD16" s="144"/>
      <c r="ZE16" s="144"/>
      <c r="ZF16" s="144"/>
      <c r="ZG16" s="144"/>
      <c r="ZH16" s="144"/>
      <c r="ZI16" s="144"/>
      <c r="ZJ16" s="144"/>
      <c r="ZK16" s="144"/>
      <c r="ZL16" s="144"/>
      <c r="ZM16" s="144"/>
      <c r="ZN16" s="144"/>
      <c r="ZO16" s="144"/>
      <c r="ZP16" s="144"/>
      <c r="ZQ16" s="144"/>
      <c r="ZR16" s="144"/>
      <c r="ZS16" s="144"/>
      <c r="ZT16" s="144"/>
      <c r="ZU16" s="144"/>
      <c r="ZV16" s="144"/>
      <c r="ZW16" s="144"/>
      <c r="ZX16" s="144"/>
      <c r="ZY16" s="144"/>
      <c r="ZZ16" s="144"/>
      <c r="AAA16" s="144"/>
      <c r="AAB16" s="144"/>
      <c r="AAC16" s="144"/>
      <c r="AAD16" s="144"/>
      <c r="AAE16" s="144"/>
      <c r="AAF16" s="144"/>
      <c r="AAG16" s="144"/>
      <c r="AAH16" s="144"/>
      <c r="AAI16" s="144"/>
      <c r="AAJ16" s="144"/>
      <c r="AAK16" s="144"/>
      <c r="AAL16" s="144"/>
      <c r="AAM16" s="144"/>
      <c r="AAN16" s="144"/>
      <c r="AAO16" s="144"/>
      <c r="AAP16" s="144"/>
      <c r="AAQ16" s="144"/>
      <c r="AAR16" s="144"/>
      <c r="AAS16" s="144"/>
      <c r="AAT16" s="144"/>
      <c r="AAU16" s="144"/>
      <c r="AAV16" s="144"/>
      <c r="AAW16" s="144"/>
      <c r="AAX16" s="144"/>
      <c r="AAY16" s="144"/>
      <c r="AAZ16" s="144"/>
      <c r="ABA16" s="144"/>
      <c r="ABB16" s="144"/>
      <c r="ABC16" s="144"/>
      <c r="ABD16" s="144"/>
      <c r="ABE16" s="144"/>
      <c r="ABF16" s="144"/>
      <c r="ABG16" s="144"/>
      <c r="ABH16" s="144"/>
      <c r="ABI16" s="144"/>
      <c r="ABJ16" s="144"/>
      <c r="ABK16" s="144"/>
      <c r="ABL16" s="144"/>
      <c r="ABM16" s="144"/>
      <c r="ABN16" s="144"/>
      <c r="ABO16" s="144"/>
      <c r="ABP16" s="144"/>
      <c r="ABQ16" s="144"/>
      <c r="ABR16" s="144"/>
      <c r="ABS16" s="144"/>
      <c r="ABT16" s="144"/>
      <c r="ABU16" s="144"/>
      <c r="ABV16" s="144"/>
      <c r="ABW16" s="144"/>
      <c r="ABX16" s="144"/>
      <c r="ABY16" s="144"/>
      <c r="ABZ16" s="144"/>
      <c r="ACA16" s="144"/>
      <c r="ACB16" s="144"/>
      <c r="ACC16" s="144"/>
      <c r="ACD16" s="144"/>
      <c r="ACE16" s="144"/>
      <c r="ACF16" s="144"/>
      <c r="ACG16" s="144"/>
      <c r="ACH16" s="144"/>
      <c r="ACI16" s="144"/>
      <c r="ACJ16" s="144"/>
      <c r="ACK16" s="144"/>
      <c r="ACL16" s="144"/>
      <c r="ACM16" s="144"/>
      <c r="ACN16" s="144"/>
      <c r="ACO16" s="144"/>
      <c r="ACP16" s="144"/>
      <c r="ACQ16" s="144"/>
      <c r="ACR16" s="144"/>
      <c r="ACS16" s="144"/>
      <c r="ACT16" s="144"/>
      <c r="ACU16" s="144"/>
      <c r="ACV16" s="144"/>
      <c r="ACW16" s="144"/>
      <c r="ACX16" s="144"/>
      <c r="ACY16" s="144"/>
      <c r="ACZ16" s="144"/>
      <c r="ADA16" s="144"/>
      <c r="ADB16" s="144"/>
      <c r="ADC16" s="144"/>
      <c r="ADD16" s="144"/>
      <c r="ADE16" s="144"/>
      <c r="ADF16" s="144"/>
      <c r="ADG16" s="144"/>
      <c r="ADH16" s="144"/>
      <c r="ADI16" s="144"/>
      <c r="ADJ16" s="144"/>
      <c r="ADK16" s="144"/>
      <c r="ADL16" s="144"/>
      <c r="ADM16" s="144"/>
      <c r="ADN16" s="144"/>
      <c r="ADO16" s="144"/>
      <c r="ADP16" s="144"/>
      <c r="ADQ16" s="144"/>
      <c r="ADR16" s="144"/>
      <c r="ADS16" s="144"/>
      <c r="ADT16" s="144"/>
      <c r="ADU16" s="144"/>
      <c r="ADV16" s="144"/>
      <c r="ADW16" s="144"/>
      <c r="ADX16" s="144"/>
      <c r="ADY16" s="144"/>
      <c r="ADZ16" s="144"/>
      <c r="AEA16" s="144"/>
      <c r="AEB16" s="144"/>
      <c r="AEC16" s="144"/>
      <c r="AED16" s="144"/>
      <c r="AEE16" s="144"/>
      <c r="AEF16" s="144"/>
      <c r="AEG16" s="144"/>
      <c r="AEH16" s="144"/>
      <c r="AEI16" s="144"/>
      <c r="AEJ16" s="144"/>
      <c r="AEK16" s="144"/>
      <c r="AEL16" s="144"/>
      <c r="AEM16" s="144"/>
      <c r="AEN16" s="144"/>
      <c r="AEO16" s="144"/>
      <c r="AEP16" s="144"/>
      <c r="AEQ16" s="144"/>
      <c r="AER16" s="144"/>
      <c r="AES16" s="144"/>
      <c r="AET16" s="144"/>
      <c r="AEU16" s="144"/>
      <c r="AEV16" s="144"/>
      <c r="AEW16" s="144"/>
      <c r="AEX16" s="144"/>
      <c r="AEY16" s="144"/>
      <c r="AEZ16" s="144"/>
      <c r="AFA16" s="144"/>
      <c r="AFB16" s="144"/>
      <c r="AFC16" s="144"/>
      <c r="AFD16" s="144"/>
      <c r="AFE16" s="144"/>
      <c r="AFF16" s="144"/>
      <c r="AFG16" s="144"/>
      <c r="AFH16" s="144"/>
      <c r="AFI16" s="144"/>
      <c r="AFJ16" s="144"/>
      <c r="AFK16" s="144"/>
      <c r="AFL16" s="144"/>
      <c r="AFM16" s="144"/>
      <c r="AFN16" s="144"/>
      <c r="AFO16" s="144"/>
      <c r="AFP16" s="144"/>
      <c r="AFQ16" s="144"/>
      <c r="AFR16" s="144"/>
      <c r="AFS16" s="144"/>
      <c r="AFT16" s="144"/>
      <c r="AFU16" s="144"/>
      <c r="AFV16" s="144"/>
      <c r="AFW16" s="144"/>
      <c r="AFX16" s="144"/>
      <c r="AFY16" s="144"/>
      <c r="AFZ16" s="144"/>
      <c r="AGA16" s="144"/>
      <c r="AGB16" s="144"/>
      <c r="AGC16" s="144"/>
      <c r="AGD16" s="144"/>
      <c r="AGE16" s="144"/>
      <c r="AGF16" s="144"/>
      <c r="AGG16" s="144"/>
      <c r="AGH16" s="144"/>
      <c r="AGI16" s="144"/>
      <c r="AGJ16" s="144"/>
      <c r="AGK16" s="144"/>
      <c r="AGL16" s="144"/>
      <c r="AGM16" s="144"/>
      <c r="AGN16" s="144"/>
      <c r="AGO16" s="144"/>
      <c r="AGP16" s="144"/>
      <c r="AGQ16" s="144"/>
      <c r="AGR16" s="144"/>
      <c r="AGS16" s="144"/>
      <c r="AGT16" s="144"/>
      <c r="AGU16" s="144"/>
      <c r="AGV16" s="144"/>
      <c r="AGW16" s="144"/>
      <c r="AGX16" s="144"/>
      <c r="AGY16" s="144"/>
      <c r="AGZ16" s="144"/>
      <c r="AHA16" s="144"/>
      <c r="AHB16" s="144"/>
      <c r="AHC16" s="144"/>
      <c r="AHD16" s="144"/>
      <c r="AHE16" s="144"/>
      <c r="AHF16" s="144"/>
      <c r="AHG16" s="144"/>
      <c r="AHH16" s="144"/>
      <c r="AHI16" s="144"/>
      <c r="AHJ16" s="144"/>
      <c r="AHK16" s="144"/>
      <c r="AHL16" s="144"/>
      <c r="AHM16" s="144"/>
      <c r="AHN16" s="144"/>
      <c r="AHO16" s="144"/>
      <c r="AHP16" s="144"/>
      <c r="AHQ16" s="144"/>
      <c r="AHR16" s="144"/>
      <c r="AHS16" s="144"/>
      <c r="AHT16" s="144"/>
      <c r="AHU16" s="144"/>
      <c r="AHV16" s="144"/>
      <c r="AHW16" s="144"/>
      <c r="AHX16" s="144"/>
      <c r="AHY16" s="144"/>
      <c r="AHZ16" s="144"/>
      <c r="AIA16" s="144"/>
      <c r="AIB16" s="144"/>
      <c r="AIC16" s="144"/>
      <c r="AID16" s="144"/>
      <c r="AIE16" s="144"/>
      <c r="AIF16" s="144"/>
      <c r="AIG16" s="144"/>
      <c r="AIH16" s="144"/>
      <c r="AII16" s="144"/>
      <c r="AIJ16" s="144"/>
      <c r="AIK16" s="144"/>
      <c r="AIL16" s="144"/>
      <c r="AIM16" s="144"/>
      <c r="AIN16" s="144"/>
      <c r="AIO16" s="144"/>
      <c r="AIP16" s="144"/>
      <c r="AIQ16" s="144"/>
      <c r="AIR16" s="144"/>
      <c r="AIS16" s="144"/>
      <c r="AIT16" s="144"/>
      <c r="AIU16" s="144"/>
      <c r="AIV16" s="144"/>
      <c r="AIW16" s="144"/>
      <c r="AIX16" s="144"/>
      <c r="AIY16" s="144"/>
      <c r="AIZ16" s="144"/>
      <c r="AJA16" s="144"/>
      <c r="AJB16" s="144"/>
      <c r="AJC16" s="144"/>
      <c r="AJD16" s="144"/>
      <c r="AJE16" s="144"/>
      <c r="AJF16" s="144"/>
      <c r="AJG16" s="144"/>
      <c r="AJH16" s="144"/>
      <c r="AJI16" s="144"/>
      <c r="AJJ16" s="144"/>
      <c r="AJK16" s="144"/>
      <c r="AJL16" s="144"/>
      <c r="AJM16" s="144"/>
      <c r="AJN16" s="144"/>
      <c r="AJO16" s="144"/>
      <c r="AJP16" s="144"/>
      <c r="AJQ16" s="144"/>
      <c r="AJR16" s="144"/>
      <c r="AJS16" s="144"/>
      <c r="AJT16" s="144"/>
      <c r="AJU16" s="144"/>
      <c r="AJV16" s="144"/>
      <c r="AJW16" s="144"/>
      <c r="AJX16" s="144"/>
      <c r="AJY16" s="144"/>
      <c r="AJZ16" s="144"/>
      <c r="AKA16" s="144"/>
      <c r="AKB16" s="144"/>
      <c r="AKC16" s="144"/>
      <c r="AKD16" s="144"/>
      <c r="AKE16" s="144"/>
      <c r="AKF16" s="144"/>
      <c r="AKG16" s="144"/>
      <c r="AKH16" s="144"/>
      <c r="AKI16" s="144"/>
      <c r="AKJ16" s="144"/>
      <c r="AKK16" s="144"/>
      <c r="AKL16" s="144"/>
      <c r="AKM16" s="144"/>
      <c r="AKN16" s="144"/>
      <c r="AKO16" s="144"/>
      <c r="AKP16" s="144"/>
      <c r="AKQ16" s="144"/>
      <c r="AKR16" s="144"/>
      <c r="AKS16" s="144"/>
      <c r="AKT16" s="144"/>
      <c r="AKU16" s="144"/>
      <c r="AKV16" s="144"/>
      <c r="AKW16" s="144"/>
      <c r="AKX16" s="144"/>
      <c r="AKY16" s="144"/>
      <c r="AKZ16" s="144"/>
      <c r="ALA16" s="144"/>
      <c r="ALB16" s="144"/>
      <c r="ALC16" s="144"/>
      <c r="ALD16" s="144"/>
      <c r="ALE16" s="144"/>
      <c r="ALF16" s="144"/>
      <c r="ALG16" s="144"/>
      <c r="ALH16" s="144"/>
      <c r="ALI16" s="144"/>
      <c r="ALJ16" s="144"/>
      <c r="ALK16" s="144"/>
      <c r="ALL16" s="144"/>
      <c r="ALM16" s="144"/>
      <c r="ALN16" s="144"/>
      <c r="ALO16" s="144"/>
      <c r="ALP16" s="144"/>
      <c r="ALQ16" s="144"/>
      <c r="ALR16" s="144"/>
      <c r="ALS16" s="144"/>
      <c r="ALT16" s="144"/>
      <c r="ALU16" s="144"/>
      <c r="ALV16" s="144"/>
      <c r="ALW16" s="144"/>
      <c r="ALX16" s="144"/>
    </row>
    <row r="17" customFormat="false" ht="18" hidden="false" customHeight="true" outlineLevel="0" collapsed="false">
      <c r="B17" s="2"/>
      <c r="C17" s="2"/>
      <c r="D17" s="2"/>
      <c r="E17" s="2"/>
      <c r="F17" s="2"/>
      <c r="G17" s="2"/>
      <c r="H17" s="80"/>
      <c r="I17" s="2"/>
      <c r="J17" s="2"/>
      <c r="O17" s="2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D17" s="56"/>
      <c r="AE17" s="56"/>
      <c r="AF17" s="56"/>
      <c r="AG17" s="56"/>
      <c r="AH17" s="56"/>
      <c r="AS17" s="147"/>
      <c r="AT17" s="147"/>
      <c r="AU17" s="147"/>
      <c r="AV17" s="147"/>
      <c r="AW17" s="147"/>
    </row>
    <row r="18" customFormat="false" ht="39.75" hidden="false" customHeight="true" outlineLevel="0" collapsed="false">
      <c r="B18" s="47" t="s">
        <v>30</v>
      </c>
      <c r="C18" s="82" t="str">
        <f aca="false">'Base Blumenau'!C20</f>
        <v>Oficial de Manutenção Predial</v>
      </c>
      <c r="D18" s="82" t="str">
        <f aca="false">'Base Blumenau'!D20</f>
        <v>Ajudante (ref. SINAPI/88241)</v>
      </c>
      <c r="E18" s="148" t="str">
        <f aca="false">'Base Blumenau'!E20</f>
        <v>Eletrotécnico (ref. SINAPI/88266)</v>
      </c>
      <c r="N18" s="149"/>
      <c r="O18" s="150"/>
      <c r="R18" s="83"/>
      <c r="V18" s="150"/>
      <c r="Z18" s="83"/>
      <c r="AA18" s="83"/>
      <c r="AB18" s="83"/>
      <c r="AC18" s="83"/>
      <c r="AD18" s="83"/>
      <c r="AE18" s="83"/>
      <c r="AF18" s="83"/>
    </row>
    <row r="19" customFormat="false" ht="18" hidden="false" customHeight="true" outlineLevel="0" collapsed="false">
      <c r="B19" s="47"/>
      <c r="C19" s="24" t="n">
        <f aca="false">'Base Blumenau'!C21</f>
        <v>32.38</v>
      </c>
      <c r="D19" s="24" t="n">
        <f aca="false">'Base Blumenau'!D21</f>
        <v>24.12</v>
      </c>
      <c r="E19" s="24" t="n">
        <f aca="false">'Base Blumenau'!E21</f>
        <v>41.09</v>
      </c>
      <c r="N19" s="149"/>
      <c r="O19" s="150"/>
    </row>
    <row r="20" customFormat="false" ht="40.5" hidden="false" customHeight="true" outlineLevel="0" collapsed="false">
      <c r="B20" s="51" t="str">
        <f aca="false">'Base Blumenau'!B22</f>
        <v>* Tabela SINAPI Outubro/2023 (Não Desonerado)</v>
      </c>
      <c r="N20" s="150"/>
      <c r="O20" s="150"/>
    </row>
    <row r="21" customFormat="false" ht="14.25" hidden="false" customHeight="false" outlineLevel="0" collapsed="false">
      <c r="N21" s="150"/>
      <c r="O21" s="150"/>
    </row>
    <row r="22" customFormat="false" ht="14.25" hidden="false" customHeight="false" outlineLevel="0" collapsed="false">
      <c r="N22" s="150"/>
      <c r="O22" s="150"/>
    </row>
    <row r="23" customFormat="false" ht="15.75" hidden="false" customHeight="true" outlineLevel="0" collapsed="false">
      <c r="N23" s="150"/>
      <c r="O23" s="150"/>
    </row>
    <row r="24" customFormat="false" ht="14.25" hidden="false" customHeight="false" outlineLevel="0" collapsed="false">
      <c r="N24" s="150"/>
      <c r="O24" s="150"/>
    </row>
    <row r="25" customFormat="false" ht="14.25" hidden="false" customHeight="false" outlineLevel="0" collapsed="false">
      <c r="N25" s="150"/>
      <c r="O25" s="150"/>
    </row>
    <row r="26" customFormat="false" ht="14.25" hidden="false" customHeight="false" outlineLevel="0" collapsed="false">
      <c r="N26" s="150"/>
      <c r="O26" s="150"/>
    </row>
    <row r="27" customFormat="false" ht="14.25" hidden="false" customHeight="false" outlineLevel="0" collapsed="false">
      <c r="N27" s="150"/>
      <c r="O27" s="150"/>
    </row>
    <row r="28" customFormat="false" ht="14.25" hidden="false" customHeight="false" outlineLevel="0" collapsed="false">
      <c r="N28" s="150"/>
      <c r="O28" s="150"/>
    </row>
    <row r="65526" customFormat="false" ht="12.75" hidden="false" customHeight="true" outlineLevel="0" collapsed="false"/>
    <row r="65527" customFormat="false" ht="12.75" hidden="false" customHeight="true" outlineLevel="0" collapsed="false"/>
    <row r="65528" customFormat="false" ht="12.75" hidden="false" customHeight="true" outlineLevel="0" collapsed="false"/>
  </sheetData>
  <mergeCells count="45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16:AJ16"/>
    <mergeCell ref="B18:B19"/>
    <mergeCell ref="N18:N19"/>
  </mergeCells>
  <printOptions headings="false" gridLines="false" gridLinesSet="true" horizontalCentered="true" verticalCentered="false"/>
  <pageMargins left="0.0576388888888889" right="0.0472222222222222" top="0.332638888888889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S57"/>
  <sheetViews>
    <sheetView showFormulas="false" showGridLines="fals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R5" activeCellId="0" sqref="R5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5" width="12.62"/>
    <col collapsed="false" customWidth="true" hidden="false" outlineLevel="0" max="3" min="3" style="85" width="32.62"/>
    <col collapsed="false" customWidth="true" hidden="false" outlineLevel="0" max="17" min="4" style="85" width="9.62"/>
    <col collapsed="false" customWidth="true" hidden="false" outlineLevel="0" max="66" min="18" style="85" width="10.75"/>
    <col collapsed="false" customWidth="true" hidden="false" outlineLevel="0" max="257" min="67" style="84" width="10.75"/>
    <col collapsed="false" customWidth="true" hidden="false" outlineLevel="0" max="1024" min="258" style="1" width="10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" t="str">
        <f aca="false">"DESLOCAMENTO BASE "&amp;Resumo!B6</f>
        <v>DESLOCAMENTO BASE JOINVILLE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customFormat="false" ht="15" hidden="false" customHeight="true" outlineLevel="0" collapsed="false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</row>
    <row r="4" customFormat="false" ht="58.6" hidden="false" customHeight="false" outlineLevel="0" collapsed="false">
      <c r="B4" s="21" t="s">
        <v>102</v>
      </c>
      <c r="C4" s="21" t="str">
        <f aca="false">"Rota (saída e retorno "&amp;Resumo!B6&amp;")"</f>
        <v>Rota (saída e retorno JOINVILLE)</v>
      </c>
      <c r="D4" s="21" t="s">
        <v>103</v>
      </c>
      <c r="E4" s="21" t="s">
        <v>104</v>
      </c>
      <c r="F4" s="21" t="s">
        <v>105</v>
      </c>
      <c r="G4" s="21" t="s">
        <v>106</v>
      </c>
      <c r="H4" s="21" t="s">
        <v>107</v>
      </c>
      <c r="I4" s="21" t="s">
        <v>108</v>
      </c>
      <c r="J4" s="21" t="s">
        <v>109</v>
      </c>
      <c r="K4" s="21" t="s">
        <v>110</v>
      </c>
      <c r="L4" s="21" t="s">
        <v>111</v>
      </c>
      <c r="M4" s="87" t="s">
        <v>140</v>
      </c>
      <c r="N4" s="21" t="s">
        <v>113</v>
      </c>
      <c r="O4" s="21" t="s">
        <v>114</v>
      </c>
      <c r="P4" s="21" t="s">
        <v>115</v>
      </c>
      <c r="Q4" s="21" t="s">
        <v>67</v>
      </c>
      <c r="R4" s="32" t="s">
        <v>116</v>
      </c>
      <c r="S4" s="32" t="s">
        <v>117</v>
      </c>
    </row>
    <row r="5" customFormat="false" ht="15.75" hidden="false" customHeight="true" outlineLevel="0" collapsed="false">
      <c r="B5" s="50" t="n">
        <v>1</v>
      </c>
      <c r="C5" s="151" t="s">
        <v>138</v>
      </c>
      <c r="D5" s="152" t="n">
        <v>3.1</v>
      </c>
      <c r="E5" s="152" t="n">
        <v>3.1</v>
      </c>
      <c r="F5" s="152" t="n">
        <v>0</v>
      </c>
      <c r="G5" s="93" t="n">
        <f aca="false">SUM(D5:F5)</f>
        <v>6.2</v>
      </c>
      <c r="H5" s="152" t="n">
        <v>6</v>
      </c>
      <c r="I5" s="152" t="n">
        <v>6</v>
      </c>
      <c r="J5" s="152" t="n">
        <v>0</v>
      </c>
      <c r="K5" s="93" t="n">
        <f aca="false">SUM(H5:J5)</f>
        <v>12</v>
      </c>
      <c r="L5" s="93" t="n">
        <f aca="false">K5/60</f>
        <v>0.2</v>
      </c>
      <c r="M5" s="99" t="n">
        <v>0</v>
      </c>
      <c r="N5" s="92" t="n">
        <v>2</v>
      </c>
      <c r="O5" s="112" t="n">
        <f aca="false">L5/N5</f>
        <v>0.1</v>
      </c>
      <c r="P5" s="98" t="n">
        <f aca="false">M5/N5</f>
        <v>0</v>
      </c>
      <c r="Q5" s="98" t="n">
        <v>0</v>
      </c>
      <c r="R5" s="99" t="str">
        <f aca="false">INDEX('Base Joinville'!$K$7:$K$25,MATCH(C5,'Base Joinville'!$B$7:$B$25,0))</f>
        <v>SIM</v>
      </c>
      <c r="S5" s="100" t="n">
        <v>1</v>
      </c>
    </row>
    <row r="6" customFormat="false" ht="15.75" hidden="false" customHeight="true" outlineLevel="0" collapsed="false">
      <c r="B6" s="50"/>
      <c r="C6" s="151" t="s">
        <v>139</v>
      </c>
      <c r="D6" s="152"/>
      <c r="E6" s="152"/>
      <c r="F6" s="152"/>
      <c r="G6" s="93"/>
      <c r="H6" s="152"/>
      <c r="I6" s="152"/>
      <c r="J6" s="152"/>
      <c r="K6" s="93"/>
      <c r="L6" s="93"/>
      <c r="M6" s="99"/>
      <c r="N6" s="92"/>
      <c r="O6" s="153" t="n">
        <f aca="false">O5</f>
        <v>0.1</v>
      </c>
      <c r="P6" s="108" t="n">
        <f aca="false">P5</f>
        <v>0</v>
      </c>
      <c r="Q6" s="108" t="n">
        <f aca="false">Q5</f>
        <v>0</v>
      </c>
      <c r="R6" s="99" t="str">
        <f aca="false">INDEX('Base Joinville'!$K$7:$K$25,MATCH(C6,'Base Joinville'!$B$7:$B$25,0))</f>
        <v>SIM</v>
      </c>
      <c r="S6" s="100" t="n">
        <v>1</v>
      </c>
    </row>
    <row r="7" customFormat="false" ht="15.75" hidden="false" customHeight="true" outlineLevel="0" collapsed="false">
      <c r="B7" s="50" t="n">
        <v>2</v>
      </c>
      <c r="C7" s="151" t="s">
        <v>134</v>
      </c>
      <c r="D7" s="152" t="n">
        <v>136</v>
      </c>
      <c r="E7" s="152" t="n">
        <v>2.3</v>
      </c>
      <c r="F7" s="152" t="n">
        <v>140</v>
      </c>
      <c r="G7" s="93" t="n">
        <f aca="false">SUM(D7:F7)</f>
        <v>278.3</v>
      </c>
      <c r="H7" s="152" t="n">
        <v>132</v>
      </c>
      <c r="I7" s="152" t="n">
        <v>5</v>
      </c>
      <c r="J7" s="152" t="n">
        <v>139</v>
      </c>
      <c r="K7" s="93" t="n">
        <f aca="false">SUM(H7:J7)</f>
        <v>276</v>
      </c>
      <c r="L7" s="93" t="n">
        <f aca="false">K7/60</f>
        <v>4.6</v>
      </c>
      <c r="M7" s="99" t="n">
        <v>0</v>
      </c>
      <c r="N7" s="92" t="n">
        <v>2</v>
      </c>
      <c r="O7" s="112" t="n">
        <f aca="false">L7/N7</f>
        <v>2.3</v>
      </c>
      <c r="P7" s="98" t="n">
        <f aca="false">M7/N7</f>
        <v>0</v>
      </c>
      <c r="Q7" s="98" t="n">
        <v>0</v>
      </c>
      <c r="R7" s="99" t="str">
        <f aca="false">INDEX('Base Joinville'!$K$7:$K$25,MATCH(C7,'Base Joinville'!$B$7:$B$25,0))</f>
        <v>NÃO</v>
      </c>
      <c r="S7" s="100" t="n">
        <v>0</v>
      </c>
    </row>
    <row r="8" customFormat="false" ht="15.75" hidden="false" customHeight="true" outlineLevel="0" collapsed="false">
      <c r="B8" s="50"/>
      <c r="C8" s="151" t="s">
        <v>135</v>
      </c>
      <c r="D8" s="152"/>
      <c r="E8" s="152"/>
      <c r="F8" s="152"/>
      <c r="G8" s="93"/>
      <c r="H8" s="152"/>
      <c r="I8" s="152"/>
      <c r="J8" s="152"/>
      <c r="K8" s="93"/>
      <c r="L8" s="93"/>
      <c r="M8" s="99"/>
      <c r="N8" s="92"/>
      <c r="O8" s="153" t="n">
        <f aca="false">O7</f>
        <v>2.3</v>
      </c>
      <c r="P8" s="108" t="n">
        <f aca="false">P7</f>
        <v>0</v>
      </c>
      <c r="Q8" s="108" t="n">
        <f aca="false">Q7</f>
        <v>0</v>
      </c>
      <c r="R8" s="99" t="str">
        <f aca="false">INDEX('Base Joinville'!$K$7:$K$25,MATCH(C8,'Base Joinville'!$B$7:$B$25,0))</f>
        <v>NÃO</v>
      </c>
      <c r="S8" s="100" t="n">
        <v>0</v>
      </c>
    </row>
    <row r="9" customFormat="false" ht="15.75" hidden="false" customHeight="true" outlineLevel="0" collapsed="false">
      <c r="B9" s="50" t="n">
        <v>3</v>
      </c>
      <c r="C9" s="151" t="s">
        <v>132</v>
      </c>
      <c r="D9" s="152" t="n">
        <v>39.1</v>
      </c>
      <c r="E9" s="152" t="n">
        <v>9.9</v>
      </c>
      <c r="F9" s="152" t="n">
        <v>50.7</v>
      </c>
      <c r="G9" s="93" t="n">
        <f aca="false">SUM(D9:F9)</f>
        <v>99.7</v>
      </c>
      <c r="H9" s="152" t="n">
        <v>40</v>
      </c>
      <c r="I9" s="152" t="n">
        <v>12</v>
      </c>
      <c r="J9" s="152" t="n">
        <v>50</v>
      </c>
      <c r="K9" s="93" t="n">
        <f aca="false">SUM(H9:J9)</f>
        <v>102</v>
      </c>
      <c r="L9" s="93" t="n">
        <f aca="false">K9/60</f>
        <v>1.7</v>
      </c>
      <c r="M9" s="99" t="n">
        <v>0</v>
      </c>
      <c r="N9" s="92" t="n">
        <v>2</v>
      </c>
      <c r="O9" s="112" t="n">
        <f aca="false">L9/N9</f>
        <v>0.85</v>
      </c>
      <c r="P9" s="98" t="n">
        <f aca="false">M9/N9</f>
        <v>0</v>
      </c>
      <c r="Q9" s="98" t="n">
        <v>0</v>
      </c>
      <c r="R9" s="99" t="str">
        <f aca="false">INDEX('Base Joinville'!$K$7:$K$25,MATCH(C9,'Base Joinville'!$B$7:$B$25,0))</f>
        <v>NÃO</v>
      </c>
      <c r="S9" s="100" t="n">
        <v>1</v>
      </c>
    </row>
    <row r="10" customFormat="false" ht="15.75" hidden="false" customHeight="true" outlineLevel="0" collapsed="false">
      <c r="B10" s="50"/>
      <c r="C10" s="151" t="s">
        <v>133</v>
      </c>
      <c r="D10" s="152"/>
      <c r="E10" s="152"/>
      <c r="F10" s="152"/>
      <c r="G10" s="93"/>
      <c r="H10" s="152"/>
      <c r="I10" s="152"/>
      <c r="J10" s="152"/>
      <c r="K10" s="93"/>
      <c r="L10" s="93"/>
      <c r="M10" s="99" t="n">
        <v>0</v>
      </c>
      <c r="N10" s="92"/>
      <c r="O10" s="153" t="n">
        <f aca="false">O9</f>
        <v>0.85</v>
      </c>
      <c r="P10" s="108" t="n">
        <f aca="false">P9</f>
        <v>0</v>
      </c>
      <c r="Q10" s="108" t="n">
        <f aca="false">Q9</f>
        <v>0</v>
      </c>
      <c r="R10" s="99" t="str">
        <f aca="false">INDEX('Base Joinville'!$K$7:$K$25,MATCH(C10,'Base Joinville'!$B$7:$B$25,0))</f>
        <v>SIM</v>
      </c>
      <c r="S10" s="100" t="n">
        <v>1</v>
      </c>
    </row>
    <row r="11" customFormat="false" ht="15.75" hidden="false" customHeight="true" outlineLevel="0" collapsed="false">
      <c r="B11" s="50" t="n">
        <v>4</v>
      </c>
      <c r="C11" s="151" t="s">
        <v>131</v>
      </c>
      <c r="D11" s="152" t="n">
        <v>196</v>
      </c>
      <c r="E11" s="152" t="n">
        <v>126</v>
      </c>
      <c r="F11" s="152" t="n">
        <v>78.3</v>
      </c>
      <c r="G11" s="93" t="n">
        <f aca="false">SUM(D11:F11)</f>
        <v>400.3</v>
      </c>
      <c r="H11" s="152" t="n">
        <v>177</v>
      </c>
      <c r="I11" s="152" t="n">
        <v>117</v>
      </c>
      <c r="J11" s="152" t="n">
        <v>79</v>
      </c>
      <c r="K11" s="93" t="n">
        <f aca="false">SUM(H11:J11)</f>
        <v>373</v>
      </c>
      <c r="L11" s="93" t="n">
        <f aca="false">K11/60</f>
        <v>6.21666666666667</v>
      </c>
      <c r="M11" s="99" t="n">
        <v>0</v>
      </c>
      <c r="N11" s="92" t="n">
        <v>2</v>
      </c>
      <c r="O11" s="112" t="n">
        <f aca="false">L11/N11</f>
        <v>3.10833333333333</v>
      </c>
      <c r="P11" s="98" t="n">
        <f aca="false">M11/N11</f>
        <v>0</v>
      </c>
      <c r="Q11" s="98" t="n">
        <v>0</v>
      </c>
      <c r="R11" s="99" t="str">
        <f aca="false">INDEX('Base Joinville'!$K$7:$K$25,MATCH(C11,'Base Joinville'!$B$7:$B$25,0))</f>
        <v>SIM</v>
      </c>
      <c r="S11" s="100" t="n">
        <v>1</v>
      </c>
    </row>
    <row r="12" customFormat="false" ht="15.75" hidden="false" customHeight="true" outlineLevel="0" collapsed="false">
      <c r="B12" s="50"/>
      <c r="C12" s="151" t="s">
        <v>136</v>
      </c>
      <c r="D12" s="152"/>
      <c r="E12" s="152"/>
      <c r="F12" s="152"/>
      <c r="G12" s="93"/>
      <c r="H12" s="152"/>
      <c r="I12" s="152"/>
      <c r="J12" s="152"/>
      <c r="K12" s="93"/>
      <c r="L12" s="93"/>
      <c r="M12" s="99"/>
      <c r="N12" s="92"/>
      <c r="O12" s="153" t="n">
        <f aca="false">O11</f>
        <v>3.10833333333333</v>
      </c>
      <c r="P12" s="108" t="n">
        <f aca="false">P11</f>
        <v>0</v>
      </c>
      <c r="Q12" s="108" t="n">
        <f aca="false">Q11</f>
        <v>0</v>
      </c>
      <c r="R12" s="99" t="str">
        <f aca="false">INDEX('Base Joinville'!$K$7:$K$25,MATCH(C12,'Base Joinville'!$B$7:$B$25,0))</f>
        <v>SIM</v>
      </c>
      <c r="S12" s="100" t="n">
        <v>1</v>
      </c>
    </row>
    <row r="13" customFormat="false" ht="15.75" hidden="false" customHeight="true" outlineLevel="0" collapsed="false">
      <c r="B13" s="50" t="n">
        <v>5</v>
      </c>
      <c r="C13" s="151" t="s">
        <v>137</v>
      </c>
      <c r="D13" s="152" t="n">
        <v>50.9</v>
      </c>
      <c r="E13" s="152" t="n">
        <v>52.7</v>
      </c>
      <c r="F13" s="152" t="n">
        <v>0</v>
      </c>
      <c r="G13" s="93" t="n">
        <f aca="false">SUM(D13:F13)</f>
        <v>103.6</v>
      </c>
      <c r="H13" s="152" t="n">
        <v>59</v>
      </c>
      <c r="I13" s="152" t="n">
        <v>55</v>
      </c>
      <c r="J13" s="152" t="n">
        <v>0</v>
      </c>
      <c r="K13" s="93" t="n">
        <f aca="false">SUM(H13:J13)</f>
        <v>114</v>
      </c>
      <c r="L13" s="93" t="n">
        <f aca="false">K13/60</f>
        <v>1.9</v>
      </c>
      <c r="M13" s="94" t="n">
        <v>0</v>
      </c>
      <c r="N13" s="154" t="n">
        <v>1</v>
      </c>
      <c r="O13" s="93" t="n">
        <f aca="false">L13/N13</f>
        <v>1.9</v>
      </c>
      <c r="P13" s="113" t="n">
        <f aca="false">M13/N13</f>
        <v>0</v>
      </c>
      <c r="Q13" s="94" t="n">
        <v>0</v>
      </c>
      <c r="R13" s="99" t="str">
        <f aca="false">INDEX('Base Joinville'!$K$7:$K$25,MATCH(C13,'Base Joinville'!$B$7:$B$25,0))</f>
        <v>NÃO</v>
      </c>
      <c r="S13" s="100" t="n">
        <v>0</v>
      </c>
    </row>
    <row r="14" customFormat="false" ht="21" hidden="false" customHeight="true" outlineLevel="0" collapsed="false">
      <c r="B14" s="117" t="s">
        <v>98</v>
      </c>
      <c r="C14" s="117"/>
      <c r="D14" s="117"/>
      <c r="E14" s="117"/>
      <c r="F14" s="117"/>
      <c r="G14" s="118" t="n">
        <f aca="false">SUM(G5:G13)</f>
        <v>888.1</v>
      </c>
      <c r="H14" s="118" t="s">
        <v>98</v>
      </c>
      <c r="I14" s="118"/>
      <c r="J14" s="118"/>
      <c r="K14" s="118" t="n">
        <f aca="false">SUM(K5:K13)</f>
        <v>877</v>
      </c>
      <c r="L14" s="118" t="n">
        <f aca="false">SUM(L5:L13)</f>
        <v>14.6166666666667</v>
      </c>
      <c r="M14" s="120" t="n">
        <f aca="false">SUM(M5:M13)</f>
        <v>0</v>
      </c>
      <c r="N14" s="155" t="n">
        <f aca="false">SUM(N5:N13)</f>
        <v>9</v>
      </c>
      <c r="O14" s="118" t="n">
        <f aca="false">SUM(O5:O13)</f>
        <v>14.6166666666667</v>
      </c>
      <c r="P14" s="120" t="n">
        <f aca="false">SUM(P5:P13)</f>
        <v>0</v>
      </c>
      <c r="Q14" s="120" t="n">
        <v>0</v>
      </c>
      <c r="R14" s="120"/>
      <c r="S14" s="121"/>
    </row>
    <row r="15" customFormat="false" ht="15.75" hidden="false" customHeight="true" outlineLevel="0" collapsed="false">
      <c r="B15" s="124"/>
      <c r="C15" s="124"/>
      <c r="D15" s="124"/>
      <c r="E15" s="124"/>
      <c r="F15" s="84"/>
      <c r="G15" s="84"/>
      <c r="H15" s="84"/>
      <c r="I15" s="84"/>
      <c r="J15" s="84"/>
      <c r="K15" s="84"/>
      <c r="L15" s="84"/>
      <c r="M15" s="84"/>
      <c r="N15" s="84"/>
    </row>
    <row r="16" customFormat="false" ht="18.75" hidden="false" customHeight="true" outlineLevel="0" collapsed="false">
      <c r="B16" s="125" t="s">
        <v>118</v>
      </c>
      <c r="C16" s="125"/>
      <c r="D16" s="125"/>
      <c r="E16" s="125"/>
      <c r="F16" s="124"/>
      <c r="G16" s="124"/>
      <c r="H16" s="124"/>
      <c r="I16" s="124"/>
      <c r="J16" s="124"/>
      <c r="K16" s="124"/>
      <c r="L16" s="124"/>
      <c r="M16" s="124"/>
      <c r="N16" s="124"/>
    </row>
    <row r="17" customFormat="false" ht="18.75" hidden="false" customHeight="true" outlineLevel="0" collapsed="false">
      <c r="B17" s="156" t="s">
        <v>119</v>
      </c>
      <c r="C17" s="156" t="s">
        <v>120</v>
      </c>
      <c r="D17" s="156" t="s">
        <v>121</v>
      </c>
      <c r="E17" s="156" t="s">
        <v>122</v>
      </c>
      <c r="F17" s="124"/>
      <c r="G17" s="126"/>
      <c r="H17" s="126"/>
      <c r="I17" s="124"/>
      <c r="J17" s="124"/>
      <c r="K17" s="124"/>
      <c r="L17" s="124"/>
      <c r="M17" s="124"/>
      <c r="N17" s="124"/>
    </row>
    <row r="18" customFormat="false" ht="18.75" hidden="false" customHeight="true" outlineLevel="0" collapsed="false">
      <c r="B18" s="50" t="s">
        <v>123</v>
      </c>
      <c r="C18" s="128" t="s">
        <v>124</v>
      </c>
      <c r="D18" s="50" t="s">
        <v>125</v>
      </c>
      <c r="E18" s="129" t="n">
        <f aca="false">'Desl. Base Blumenau'!E20</f>
        <v>52.02</v>
      </c>
      <c r="F18" s="124"/>
      <c r="G18" s="130"/>
      <c r="H18" s="157"/>
      <c r="I18" s="124"/>
      <c r="J18" s="124"/>
      <c r="K18" s="158"/>
      <c r="L18" s="158"/>
    </row>
    <row r="19" customFormat="false" ht="18.75" hidden="false" customHeight="true" outlineLevel="0" collapsed="false">
      <c r="B19" s="109" t="s">
        <v>126</v>
      </c>
      <c r="C19" s="131" t="s">
        <v>124</v>
      </c>
      <c r="D19" s="109" t="s">
        <v>127</v>
      </c>
      <c r="E19" s="132" t="n">
        <f aca="false">'Desl. Base Blumenau'!E21</f>
        <v>6.95</v>
      </c>
      <c r="F19" s="124"/>
      <c r="G19" s="130"/>
      <c r="H19" s="130"/>
      <c r="I19" s="124"/>
      <c r="J19" s="124"/>
      <c r="K19" s="158"/>
      <c r="L19" s="158"/>
    </row>
    <row r="20" customFormat="false" ht="47.25" hidden="false" customHeight="true" outlineLevel="0" collapsed="false">
      <c r="B20" s="133" t="s">
        <v>128</v>
      </c>
      <c r="C20" s="133"/>
      <c r="D20" s="133"/>
      <c r="E20" s="133"/>
      <c r="F20" s="134"/>
      <c r="G20" s="134"/>
      <c r="H20" s="134"/>
      <c r="I20" s="134"/>
      <c r="J20" s="134"/>
      <c r="K20" s="134"/>
      <c r="L20" s="158"/>
    </row>
    <row r="21" customFormat="false" ht="18.75" hidden="false" customHeight="true" outlineLevel="0" collapsed="false">
      <c r="B21" s="135"/>
      <c r="C21" s="135"/>
      <c r="D21" s="135"/>
      <c r="E21" s="135"/>
      <c r="F21" s="134"/>
      <c r="G21" s="134"/>
      <c r="H21" s="134"/>
      <c r="I21" s="134"/>
      <c r="J21" s="134"/>
      <c r="K21" s="134"/>
      <c r="L21" s="158"/>
    </row>
    <row r="22" customFormat="false" ht="15.75" hidden="false" customHeight="true" outlineLevel="0" collapsed="false">
      <c r="B22" s="125" t="s">
        <v>129</v>
      </c>
      <c r="C22" s="125"/>
      <c r="D22" s="124"/>
      <c r="E22" s="124"/>
      <c r="F22" s="124"/>
      <c r="G22" s="124"/>
      <c r="H22" s="124"/>
      <c r="I22" s="124"/>
      <c r="J22" s="124"/>
      <c r="K22" s="124"/>
      <c r="L22" s="124"/>
    </row>
    <row r="23" customFormat="false" ht="15.75" hidden="false" customHeight="true" outlineLevel="0" collapsed="false">
      <c r="B23" s="159" t="s">
        <v>125</v>
      </c>
      <c r="C23" s="160" t="n">
        <f aca="false">E18*L14</f>
        <v>760.359</v>
      </c>
      <c r="D23" s="124"/>
      <c r="E23" s="124"/>
      <c r="F23" s="124"/>
      <c r="G23" s="124"/>
      <c r="H23" s="124"/>
      <c r="I23" s="124"/>
      <c r="J23" s="124"/>
    </row>
    <row r="24" customFormat="false" ht="15.75" hidden="false" customHeight="true" outlineLevel="0" collapsed="false">
      <c r="B24" s="50" t="s">
        <v>127</v>
      </c>
      <c r="C24" s="129" t="n">
        <f aca="false">E19*('Base Joinville'!N16/12)</f>
        <v>214.088958333333</v>
      </c>
      <c r="D24" s="124"/>
      <c r="E24" s="124"/>
      <c r="F24" s="124"/>
      <c r="G24" s="124"/>
      <c r="H24" s="124"/>
      <c r="I24" s="124"/>
      <c r="J24" s="124"/>
    </row>
    <row r="25" customFormat="false" ht="15.75" hidden="false" customHeight="true" outlineLevel="0" collapsed="false">
      <c r="B25" s="136" t="s">
        <v>28</v>
      </c>
      <c r="C25" s="137" t="n">
        <f aca="false">C23+C24</f>
        <v>974.447958333333</v>
      </c>
      <c r="D25" s="124"/>
      <c r="E25" s="124"/>
      <c r="F25" s="124"/>
      <c r="G25" s="124"/>
      <c r="H25" s="124"/>
      <c r="I25" s="84"/>
      <c r="J25" s="84"/>
    </row>
    <row r="26" customFormat="false" ht="15.75" hidden="false" customHeight="true" outlineLevel="0" collapsed="false">
      <c r="B26" s="161"/>
      <c r="C26" s="161"/>
      <c r="D26" s="124"/>
      <c r="H26" s="84"/>
      <c r="I26" s="84"/>
    </row>
    <row r="27" customFormat="false" ht="15.75" hidden="false" customHeight="true" outlineLevel="0" collapsed="false">
      <c r="B27" s="139" t="s">
        <v>130</v>
      </c>
      <c r="C27" s="139"/>
      <c r="D27" s="124"/>
      <c r="H27" s="84"/>
      <c r="I27" s="84"/>
    </row>
    <row r="28" customFormat="false" ht="15.75" hidden="false" customHeight="true" outlineLevel="0" collapsed="false">
      <c r="B28" s="156" t="s">
        <v>122</v>
      </c>
      <c r="C28" s="141" t="n">
        <f aca="false">SUM(M5:M13)</f>
        <v>0</v>
      </c>
      <c r="I28" s="124"/>
    </row>
    <row r="29" customFormat="false" ht="14.25" hidden="false" customHeight="false" outlineLevel="0" collapsed="false">
      <c r="B29" s="84"/>
      <c r="C29" s="84"/>
      <c r="D29" s="84"/>
    </row>
    <row r="30" customFormat="false" ht="14.25" hidden="false" customHeight="false" outlineLevel="0" collapsed="false">
      <c r="B30" s="130"/>
      <c r="C30" s="124"/>
      <c r="D30" s="124"/>
    </row>
    <row r="31" customFormat="false" ht="14.25" hidden="false" customHeight="false" outlineLevel="0" collapsed="false">
      <c r="B31" s="161"/>
      <c r="C31" s="124"/>
      <c r="D31" s="124"/>
    </row>
    <row r="32" customFormat="false" ht="14.25" hidden="false" customHeight="false" outlineLevel="0" collapsed="false">
      <c r="B32" s="124"/>
      <c r="C32" s="124"/>
      <c r="D32" s="130"/>
    </row>
    <row r="33" customFormat="false" ht="14.25" hidden="false" customHeight="false" outlineLevel="0" collapsed="false">
      <c r="B33" s="124"/>
      <c r="C33" s="124"/>
      <c r="D33" s="130"/>
    </row>
    <row r="34" customFormat="false" ht="14.25" hidden="false" customHeight="false" outlineLevel="0" collapsed="false">
      <c r="B34" s="124"/>
      <c r="C34" s="124"/>
      <c r="D34" s="130"/>
    </row>
    <row r="35" customFormat="false" ht="14.25" hidden="false" customHeight="false" outlineLevel="0" collapsed="false">
      <c r="B35" s="161"/>
      <c r="C35" s="124"/>
      <c r="D35" s="162"/>
    </row>
    <row r="36" customFormat="false" ht="14.25" hidden="false" customHeight="false" outlineLevel="0" collapsed="false">
      <c r="B36" s="84"/>
      <c r="C36" s="84"/>
      <c r="D36" s="84"/>
    </row>
    <row r="37" customFormat="false" ht="14.25" hidden="false" customHeight="false" outlineLevel="0" collapsed="false">
      <c r="B37" s="163"/>
      <c r="C37" s="84"/>
      <c r="D37" s="84"/>
    </row>
    <row r="38" customFormat="false" ht="14.25" hidden="false" customHeight="false" outlineLevel="0" collapsed="false">
      <c r="B38" s="130"/>
      <c r="C38" s="124"/>
      <c r="D38" s="124"/>
    </row>
    <row r="39" customFormat="false" ht="14.25" hidden="false" customHeight="false" outlineLevel="0" collapsed="false">
      <c r="B39" s="161"/>
      <c r="C39" s="124"/>
      <c r="D39" s="124"/>
    </row>
    <row r="40" customFormat="false" ht="14.25" hidden="false" customHeight="false" outlineLevel="0" collapsed="false">
      <c r="B40" s="124"/>
      <c r="C40" s="124"/>
      <c r="D40" s="130"/>
    </row>
    <row r="41" customFormat="false" ht="14.25" hidden="false" customHeight="false" outlineLevel="0" collapsed="false">
      <c r="B41" s="124"/>
      <c r="C41" s="124"/>
      <c r="D41" s="130"/>
    </row>
    <row r="42" customFormat="false" ht="14.25" hidden="false" customHeight="false" outlineLevel="0" collapsed="false">
      <c r="B42" s="161"/>
      <c r="C42" s="124"/>
      <c r="D42" s="162"/>
    </row>
    <row r="43" customFormat="false" ht="14.25" hidden="false" customHeight="false" outlineLevel="0" collapsed="false">
      <c r="B43" s="84"/>
      <c r="C43" s="84"/>
      <c r="D43" s="84"/>
    </row>
    <row r="44" customFormat="false" ht="14.25" hidden="false" customHeight="false" outlineLevel="0" collapsed="false">
      <c r="B44" s="163"/>
      <c r="C44" s="84"/>
      <c r="D44" s="84"/>
    </row>
    <row r="45" customFormat="false" ht="14.25" hidden="false" customHeight="false" outlineLevel="0" collapsed="false">
      <c r="B45" s="130"/>
      <c r="C45" s="124"/>
      <c r="D45" s="124"/>
    </row>
    <row r="46" customFormat="false" ht="14.25" hidden="false" customHeight="false" outlineLevel="0" collapsed="false">
      <c r="B46" s="161"/>
      <c r="C46" s="124"/>
      <c r="D46" s="124"/>
    </row>
    <row r="47" customFormat="false" ht="14.25" hidden="false" customHeight="false" outlineLevel="0" collapsed="false">
      <c r="B47" s="124"/>
      <c r="C47" s="124"/>
      <c r="D47" s="130"/>
    </row>
    <row r="48" customFormat="false" ht="14.25" hidden="false" customHeight="false" outlineLevel="0" collapsed="false">
      <c r="B48" s="124"/>
      <c r="C48" s="124"/>
      <c r="D48" s="130"/>
    </row>
    <row r="49" customFormat="false" ht="14.25" hidden="false" customHeight="false" outlineLevel="0" collapsed="false">
      <c r="B49" s="161"/>
      <c r="C49" s="124"/>
      <c r="D49" s="162"/>
    </row>
    <row r="50" customFormat="false" ht="14.25" hidden="false" customHeight="false" outlineLevel="0" collapsed="false">
      <c r="B50" s="84"/>
      <c r="C50" s="84"/>
      <c r="D50" s="84"/>
    </row>
    <row r="51" customFormat="false" ht="14.25" hidden="false" customHeight="false" outlineLevel="0" collapsed="false">
      <c r="B51" s="163"/>
      <c r="C51" s="84"/>
      <c r="D51" s="84"/>
    </row>
    <row r="52" customFormat="false" ht="14.25" hidden="false" customHeight="false" outlineLevel="0" collapsed="false">
      <c r="B52" s="130"/>
      <c r="C52" s="124"/>
      <c r="D52" s="124"/>
    </row>
    <row r="53" customFormat="false" ht="14.25" hidden="false" customHeight="false" outlineLevel="0" collapsed="false">
      <c r="B53" s="161"/>
      <c r="C53" s="124"/>
      <c r="D53" s="124"/>
    </row>
    <row r="54" customFormat="false" ht="14.25" hidden="false" customHeight="false" outlineLevel="0" collapsed="false">
      <c r="B54" s="124"/>
      <c r="C54" s="124"/>
      <c r="D54" s="130"/>
    </row>
    <row r="55" customFormat="false" ht="14.25" hidden="false" customHeight="false" outlineLevel="0" collapsed="false">
      <c r="B55" s="124"/>
      <c r="C55" s="124"/>
      <c r="D55" s="130"/>
    </row>
    <row r="56" customFormat="false" ht="14.25" hidden="false" customHeight="false" outlineLevel="0" collapsed="false">
      <c r="B56" s="124"/>
      <c r="C56" s="124"/>
      <c r="D56" s="130"/>
    </row>
    <row r="57" customFormat="false" ht="14.25" hidden="false" customHeight="false" outlineLevel="0" collapsed="false">
      <c r="B57" s="161"/>
      <c r="C57" s="124"/>
      <c r="D57" s="162"/>
    </row>
  </sheetData>
  <mergeCells count="55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4:F14"/>
    <mergeCell ref="H14:J14"/>
    <mergeCell ref="B16:E16"/>
    <mergeCell ref="B20:E20"/>
    <mergeCell ref="B22:C22"/>
    <mergeCell ref="B27:C27"/>
  </mergeCells>
  <printOptions headings="false" gridLines="false" gridLinesSet="true" horizontalCentered="true" verticalCentered="false"/>
  <pageMargins left="0.7875" right="0.7875" top="0.159722222222222" bottom="0.0819444444444444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32"/>
  <sheetViews>
    <sheetView showFormulas="false" showGridLines="false" showRowColHeaders="true" showZeros="true" rightToLeft="false" tabSelected="false" showOutlineSymbols="true" defaultGridColor="true" view="normal" topLeftCell="A4" colorId="64" zoomScale="90" zoomScaleNormal="90" zoomScalePageLayoutView="100" workbookViewId="0">
      <selection pane="topLeft" activeCell="G13" activeCellId="0" sqref="G13"/>
    </sheetView>
  </sheetViews>
  <sheetFormatPr defaultColWidth="8.41015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3.76"/>
    <col collapsed="false" customWidth="true" hidden="false" outlineLevel="0" max="8" min="8" style="1" width="12"/>
    <col collapsed="false" customWidth="true" hidden="false" outlineLevel="0" max="9" min="9" style="1" width="14"/>
    <col collapsed="false" customWidth="true" hidden="false" outlineLevel="0" max="1026" min="10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64" t="s">
        <v>141</v>
      </c>
      <c r="C2" s="164"/>
      <c r="D2" s="164"/>
      <c r="E2" s="164"/>
      <c r="F2" s="164"/>
      <c r="G2" s="164"/>
      <c r="H2" s="164"/>
      <c r="I2" s="164"/>
    </row>
    <row r="3" customFormat="false" ht="21" hidden="false" customHeight="true" outlineLevel="0" collapsed="false"/>
    <row r="4" customFormat="false" ht="16.5" hidden="false" customHeight="true" outlineLevel="0" collapsed="false">
      <c r="B4" s="165" t="s">
        <v>142</v>
      </c>
      <c r="C4" s="165"/>
      <c r="D4" s="165"/>
      <c r="E4" s="165"/>
      <c r="F4" s="165"/>
      <c r="G4" s="165"/>
      <c r="H4" s="165"/>
      <c r="I4" s="165"/>
    </row>
    <row r="5" customFormat="false" ht="16.5" hidden="false" customHeight="true" outlineLevel="0" collapsed="false">
      <c r="B5" s="166" t="s">
        <v>143</v>
      </c>
      <c r="C5" s="166"/>
      <c r="D5" s="167" t="s">
        <v>144</v>
      </c>
      <c r="E5" s="167"/>
      <c r="F5" s="167"/>
      <c r="G5" s="167"/>
      <c r="H5" s="167"/>
      <c r="I5" s="167"/>
    </row>
    <row r="6" customFormat="false" ht="16.5" hidden="false" customHeight="true" outlineLevel="0" collapsed="false">
      <c r="B6" s="166" t="s">
        <v>120</v>
      </c>
      <c r="C6" s="166"/>
      <c r="D6" s="167" t="s">
        <v>145</v>
      </c>
      <c r="E6" s="167"/>
      <c r="F6" s="167"/>
      <c r="G6" s="167"/>
      <c r="H6" s="167"/>
      <c r="I6" s="167"/>
    </row>
    <row r="7" customFormat="false" ht="16.5" hidden="false" customHeight="true" outlineLevel="0" collapsed="false">
      <c r="B7" s="166" t="s">
        <v>146</v>
      </c>
      <c r="C7" s="166"/>
      <c r="D7" s="168" t="s">
        <v>147</v>
      </c>
      <c r="E7" s="168"/>
      <c r="F7" s="168"/>
      <c r="G7" s="168"/>
      <c r="H7" s="168"/>
      <c r="I7" s="168"/>
    </row>
    <row r="8" customFormat="false" ht="16.5" hidden="false" customHeight="true" outlineLevel="0" collapsed="false">
      <c r="B8" s="166" t="s">
        <v>148</v>
      </c>
      <c r="C8" s="166"/>
      <c r="D8" s="167" t="s">
        <v>149</v>
      </c>
      <c r="E8" s="167"/>
      <c r="F8" s="167"/>
      <c r="G8" s="167"/>
      <c r="H8" s="167"/>
      <c r="I8" s="167"/>
    </row>
    <row r="9" customFormat="false" ht="16.5" hidden="false" customHeight="true" outlineLevel="0" collapsed="false">
      <c r="B9" s="166" t="s">
        <v>150</v>
      </c>
      <c r="C9" s="166"/>
      <c r="D9" s="167" t="s">
        <v>151</v>
      </c>
      <c r="E9" s="167"/>
      <c r="F9" s="167"/>
      <c r="G9" s="167"/>
      <c r="H9" s="167"/>
      <c r="I9" s="167"/>
    </row>
    <row r="10" customFormat="false" ht="16.5" hidden="false" customHeight="true" outlineLevel="0" collapsed="false">
      <c r="B10" s="166" t="s">
        <v>121</v>
      </c>
      <c r="C10" s="166"/>
      <c r="D10" s="167" t="s">
        <v>125</v>
      </c>
      <c r="E10" s="167"/>
      <c r="F10" s="167"/>
      <c r="G10" s="167"/>
      <c r="H10" s="167"/>
      <c r="I10" s="167"/>
    </row>
    <row r="11" customFormat="false" ht="23.25" hidden="false" customHeight="true" outlineLevel="0" collapsed="false">
      <c r="B11" s="166" t="s">
        <v>152</v>
      </c>
      <c r="C11" s="166"/>
      <c r="D11" s="169" t="n">
        <f aca="false">SUM(I14:I18)</f>
        <v>52.02</v>
      </c>
      <c r="E11" s="169"/>
      <c r="F11" s="169"/>
      <c r="G11" s="169"/>
      <c r="H11" s="169"/>
      <c r="I11" s="169"/>
    </row>
    <row r="12" customFormat="false" ht="15.75" hidden="false" customHeight="true" outlineLevel="0" collapsed="false">
      <c r="B12" s="170"/>
      <c r="C12" s="170"/>
      <c r="D12" s="171"/>
      <c r="E12" s="171"/>
      <c r="F12" s="171"/>
      <c r="G12" s="171"/>
      <c r="H12" s="171"/>
      <c r="I12" s="171"/>
    </row>
    <row r="13" customFormat="false" ht="38.85" hidden="false" customHeight="false" outlineLevel="0" collapsed="false">
      <c r="B13" s="172"/>
      <c r="C13" s="172" t="s">
        <v>153</v>
      </c>
      <c r="D13" s="172" t="s">
        <v>120</v>
      </c>
      <c r="E13" s="172" t="s">
        <v>150</v>
      </c>
      <c r="F13" s="172" t="s">
        <v>121</v>
      </c>
      <c r="G13" s="172" t="s">
        <v>154</v>
      </c>
      <c r="H13" s="172" t="s">
        <v>155</v>
      </c>
      <c r="I13" s="172" t="s">
        <v>152</v>
      </c>
    </row>
    <row r="14" customFormat="false" ht="27.75" hidden="false" customHeight="true" outlineLevel="0" collapsed="false">
      <c r="B14" s="173" t="s">
        <v>156</v>
      </c>
      <c r="C14" s="173" t="s">
        <v>157</v>
      </c>
      <c r="D14" s="174" t="s">
        <v>158</v>
      </c>
      <c r="E14" s="174" t="s">
        <v>151</v>
      </c>
      <c r="F14" s="173" t="s">
        <v>159</v>
      </c>
      <c r="G14" s="175" t="n">
        <v>4.86</v>
      </c>
      <c r="H14" s="173" t="s">
        <v>160</v>
      </c>
      <c r="I14" s="175" t="n">
        <f aca="false">G14*H14</f>
        <v>4.86</v>
      </c>
    </row>
    <row r="15" customFormat="false" ht="27.75" hidden="false" customHeight="true" outlineLevel="0" collapsed="false">
      <c r="B15" s="173" t="s">
        <v>156</v>
      </c>
      <c r="C15" s="173" t="s">
        <v>161</v>
      </c>
      <c r="D15" s="174" t="s">
        <v>162</v>
      </c>
      <c r="E15" s="174" t="s">
        <v>151</v>
      </c>
      <c r="F15" s="173" t="s">
        <v>159</v>
      </c>
      <c r="G15" s="175" t="n">
        <v>1.49</v>
      </c>
      <c r="H15" s="173" t="s">
        <v>160</v>
      </c>
      <c r="I15" s="175" t="n">
        <f aca="false">G15*H15</f>
        <v>1.49</v>
      </c>
    </row>
    <row r="16" customFormat="false" ht="42" hidden="false" customHeight="true" outlineLevel="0" collapsed="false">
      <c r="B16" s="173" t="s">
        <v>156</v>
      </c>
      <c r="C16" s="173" t="s">
        <v>163</v>
      </c>
      <c r="D16" s="174" t="s">
        <v>164</v>
      </c>
      <c r="E16" s="174" t="s">
        <v>151</v>
      </c>
      <c r="F16" s="173" t="s">
        <v>159</v>
      </c>
      <c r="G16" s="175" t="n">
        <v>0.6</v>
      </c>
      <c r="H16" s="173" t="s">
        <v>160</v>
      </c>
      <c r="I16" s="175" t="n">
        <f aca="false">G16*H16</f>
        <v>0.6</v>
      </c>
    </row>
    <row r="17" customFormat="false" ht="27.75" hidden="false" customHeight="true" outlineLevel="0" collapsed="false">
      <c r="B17" s="173" t="s">
        <v>156</v>
      </c>
      <c r="C17" s="173" t="s">
        <v>165</v>
      </c>
      <c r="D17" s="174" t="s">
        <v>166</v>
      </c>
      <c r="E17" s="174" t="s">
        <v>151</v>
      </c>
      <c r="F17" s="173" t="s">
        <v>159</v>
      </c>
      <c r="G17" s="175" t="n">
        <v>6.07</v>
      </c>
      <c r="H17" s="173" t="s">
        <v>160</v>
      </c>
      <c r="I17" s="175" t="n">
        <f aca="false">G17*H17</f>
        <v>6.07</v>
      </c>
    </row>
    <row r="18" customFormat="false" ht="42" hidden="false" customHeight="true" outlineLevel="0" collapsed="false">
      <c r="B18" s="173" t="s">
        <v>156</v>
      </c>
      <c r="C18" s="173" t="s">
        <v>167</v>
      </c>
      <c r="D18" s="174" t="s">
        <v>168</v>
      </c>
      <c r="E18" s="174" t="s">
        <v>151</v>
      </c>
      <c r="F18" s="173" t="s">
        <v>159</v>
      </c>
      <c r="G18" s="175" t="n">
        <v>39</v>
      </c>
      <c r="H18" s="173" t="s">
        <v>160</v>
      </c>
      <c r="I18" s="175" t="n">
        <f aca="false">G18*H18</f>
        <v>39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164" t="s">
        <v>169</v>
      </c>
      <c r="C20" s="164"/>
      <c r="D20" s="164"/>
      <c r="E20" s="164"/>
      <c r="F20" s="164"/>
      <c r="G20" s="164"/>
      <c r="H20" s="164"/>
      <c r="I20" s="164"/>
    </row>
    <row r="21" customFormat="false" ht="16.5" hidden="false" customHeight="true" outlineLevel="0" collapsed="false">
      <c r="B21" s="166" t="s">
        <v>143</v>
      </c>
      <c r="C21" s="166"/>
      <c r="D21" s="167" t="s">
        <v>170</v>
      </c>
      <c r="E21" s="167"/>
      <c r="F21" s="167"/>
      <c r="G21" s="167"/>
      <c r="H21" s="167"/>
      <c r="I21" s="167"/>
    </row>
    <row r="22" customFormat="false" ht="16.5" hidden="false" customHeight="true" outlineLevel="0" collapsed="false">
      <c r="B22" s="166" t="s">
        <v>120</v>
      </c>
      <c r="C22" s="166"/>
      <c r="D22" s="167" t="s">
        <v>171</v>
      </c>
      <c r="E22" s="167"/>
      <c r="F22" s="167"/>
      <c r="G22" s="167"/>
      <c r="H22" s="167"/>
      <c r="I22" s="167"/>
    </row>
    <row r="23" customFormat="false" ht="16.5" hidden="false" customHeight="true" outlineLevel="0" collapsed="false">
      <c r="B23" s="166" t="s">
        <v>146</v>
      </c>
      <c r="C23" s="166"/>
      <c r="D23" s="168" t="s">
        <v>147</v>
      </c>
      <c r="E23" s="168"/>
      <c r="F23" s="168"/>
      <c r="G23" s="168"/>
      <c r="H23" s="168"/>
      <c r="I23" s="168"/>
    </row>
    <row r="24" customFormat="false" ht="16.5" hidden="false" customHeight="true" outlineLevel="0" collapsed="false">
      <c r="B24" s="166" t="s">
        <v>148</v>
      </c>
      <c r="C24" s="166"/>
      <c r="D24" s="167" t="s">
        <v>149</v>
      </c>
      <c r="E24" s="167"/>
      <c r="F24" s="167"/>
      <c r="G24" s="167"/>
      <c r="H24" s="167"/>
      <c r="I24" s="167"/>
    </row>
    <row r="25" customFormat="false" ht="16.5" hidden="false" customHeight="true" outlineLevel="0" collapsed="false">
      <c r="B25" s="166" t="s">
        <v>150</v>
      </c>
      <c r="C25" s="166"/>
      <c r="D25" s="167" t="s">
        <v>151</v>
      </c>
      <c r="E25" s="167"/>
      <c r="F25" s="167"/>
      <c r="G25" s="167"/>
      <c r="H25" s="167"/>
      <c r="I25" s="167"/>
    </row>
    <row r="26" customFormat="false" ht="16.5" hidden="false" customHeight="true" outlineLevel="0" collapsed="false">
      <c r="B26" s="166" t="s">
        <v>121</v>
      </c>
      <c r="C26" s="166"/>
      <c r="D26" s="167" t="s">
        <v>127</v>
      </c>
      <c r="E26" s="167"/>
      <c r="F26" s="167"/>
      <c r="G26" s="167"/>
      <c r="H26" s="167"/>
      <c r="I26" s="167"/>
    </row>
    <row r="27" customFormat="false" ht="23.25" hidden="false" customHeight="true" outlineLevel="0" collapsed="false">
      <c r="B27" s="166" t="s">
        <v>152</v>
      </c>
      <c r="C27" s="166"/>
      <c r="D27" s="176" t="n">
        <f aca="false">SUM(I30:I32)</f>
        <v>6.95</v>
      </c>
      <c r="E27" s="176"/>
      <c r="F27" s="176"/>
      <c r="G27" s="176"/>
      <c r="H27" s="176"/>
      <c r="I27" s="176"/>
    </row>
    <row r="28" customFormat="false" ht="15.75" hidden="false" customHeight="true" outlineLevel="0" collapsed="false">
      <c r="B28" s="170"/>
      <c r="C28" s="170"/>
      <c r="D28" s="171"/>
      <c r="E28" s="171"/>
      <c r="F28" s="171"/>
      <c r="G28" s="171"/>
      <c r="H28" s="171"/>
      <c r="I28" s="171"/>
    </row>
    <row r="29" customFormat="false" ht="38.85" hidden="false" customHeight="false" outlineLevel="0" collapsed="false">
      <c r="B29" s="172"/>
      <c r="C29" s="172" t="s">
        <v>153</v>
      </c>
      <c r="D29" s="172" t="s">
        <v>120</v>
      </c>
      <c r="E29" s="172" t="s">
        <v>150</v>
      </c>
      <c r="F29" s="172" t="s">
        <v>121</v>
      </c>
      <c r="G29" s="172" t="s">
        <v>154</v>
      </c>
      <c r="H29" s="172" t="s">
        <v>155</v>
      </c>
      <c r="I29" s="172" t="s">
        <v>152</v>
      </c>
    </row>
    <row r="30" customFormat="false" ht="27.75" hidden="false" customHeight="true" outlineLevel="0" collapsed="false">
      <c r="B30" s="173" t="s">
        <v>156</v>
      </c>
      <c r="C30" s="173" t="s">
        <v>157</v>
      </c>
      <c r="D30" s="174" t="s">
        <v>158</v>
      </c>
      <c r="E30" s="174" t="s">
        <v>151</v>
      </c>
      <c r="F30" s="173" t="s">
        <v>159</v>
      </c>
      <c r="G30" s="175" t="n">
        <f aca="false">G14</f>
        <v>4.86</v>
      </c>
      <c r="H30" s="173" t="s">
        <v>160</v>
      </c>
      <c r="I30" s="175" t="n">
        <f aca="false">G30*H30</f>
        <v>4.86</v>
      </c>
    </row>
    <row r="31" customFormat="false" ht="27.75" hidden="false" customHeight="true" outlineLevel="0" collapsed="false">
      <c r="B31" s="173" t="s">
        <v>156</v>
      </c>
      <c r="C31" s="173" t="s">
        <v>161</v>
      </c>
      <c r="D31" s="174" t="s">
        <v>162</v>
      </c>
      <c r="E31" s="174" t="s">
        <v>151</v>
      </c>
      <c r="F31" s="173" t="s">
        <v>159</v>
      </c>
      <c r="G31" s="175" t="n">
        <f aca="false">G15</f>
        <v>1.49</v>
      </c>
      <c r="H31" s="173" t="s">
        <v>160</v>
      </c>
      <c r="I31" s="175" t="n">
        <f aca="false">G31*H31</f>
        <v>1.49</v>
      </c>
    </row>
    <row r="32" customFormat="false" ht="42" hidden="false" customHeight="true" outlineLevel="0" collapsed="false">
      <c r="B32" s="173" t="s">
        <v>156</v>
      </c>
      <c r="C32" s="173" t="s">
        <v>163</v>
      </c>
      <c r="D32" s="174" t="s">
        <v>164</v>
      </c>
      <c r="E32" s="174" t="s">
        <v>151</v>
      </c>
      <c r="F32" s="173" t="s">
        <v>159</v>
      </c>
      <c r="G32" s="175" t="n">
        <f aca="false">G16</f>
        <v>0.6</v>
      </c>
      <c r="H32" s="173" t="s">
        <v>160</v>
      </c>
      <c r="I32" s="175" t="n">
        <f aca="false">G32*H32</f>
        <v>0.6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F16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C1" activeCellId="0" sqref="C1"/>
    </sheetView>
  </sheetViews>
  <sheetFormatPr defaultColWidth="10.52734375" defaultRowHeight="13.8" zeroHeight="false" outlineLevelRow="0" outlineLevelCol="0"/>
  <cols>
    <col collapsed="false" customWidth="true" hidden="false" outlineLevel="0" max="1" min="1" style="177" width="5.2"/>
    <col collapsed="false" customWidth="true" hidden="false" outlineLevel="0" max="2" min="2" style="177" width="34.96"/>
    <col collapsed="false" customWidth="true" hidden="false" outlineLevel="0" max="3" min="3" style="177" width="28.85"/>
    <col collapsed="false" customWidth="true" hidden="false" outlineLevel="0" max="4" min="4" style="177" width="15.6"/>
    <col collapsed="false" customWidth="true" hidden="false" outlineLevel="0" max="5" min="5" style="177" width="7.79"/>
    <col collapsed="false" customWidth="false" hidden="false" outlineLevel="0" max="6" min="6" style="177" width="10.53"/>
  </cols>
  <sheetData>
    <row r="1" customFormat="false" ht="15" hidden="false" customHeight="true" outlineLevel="0" collapsed="false"/>
    <row r="2" customFormat="false" ht="15" hidden="false" customHeight="true" outlineLevel="0" collapsed="false">
      <c r="C2" s="178" t="s">
        <v>172</v>
      </c>
    </row>
    <row r="3" customFormat="false" ht="15" hidden="false" customHeight="true" outlineLevel="0" collapsed="false">
      <c r="B3" s="179" t="s">
        <v>173</v>
      </c>
      <c r="C3" s="178" t="s">
        <v>174</v>
      </c>
    </row>
    <row r="4" customFormat="false" ht="15" hidden="false" customHeight="true" outlineLevel="0" collapsed="false">
      <c r="B4" s="179" t="s">
        <v>175</v>
      </c>
      <c r="C4" s="180" t="s">
        <v>176</v>
      </c>
    </row>
    <row r="5" customFormat="false" ht="15" hidden="false" customHeight="true" outlineLevel="0" collapsed="false">
      <c r="B5" s="179" t="s">
        <v>177</v>
      </c>
      <c r="C5" s="180" t="n">
        <v>45200</v>
      </c>
    </row>
    <row r="6" customFormat="false" ht="15" hidden="false" customHeight="true" outlineLevel="0" collapsed="false">
      <c r="B6" s="179" t="s">
        <v>178</v>
      </c>
      <c r="C6" s="181" t="n">
        <v>56.25</v>
      </c>
    </row>
    <row r="7" customFormat="false" ht="13.8" hidden="false" customHeight="false" outlineLevel="0" collapsed="false">
      <c r="B7" s="182"/>
      <c r="C7" s="183"/>
    </row>
    <row r="8" customFormat="false" ht="27.75" hidden="false" customHeight="true" outlineLevel="0" collapsed="false">
      <c r="B8" s="184" t="s">
        <v>179</v>
      </c>
      <c r="C8" s="185" t="s">
        <v>180</v>
      </c>
    </row>
    <row r="9" customFormat="false" ht="15" hidden="false" customHeight="true" outlineLevel="0" collapsed="false">
      <c r="B9" s="179" t="s">
        <v>181</v>
      </c>
      <c r="C9" s="186" t="n">
        <v>0.8549</v>
      </c>
    </row>
    <row r="10" customFormat="false" ht="15" hidden="false" customHeight="true" outlineLevel="0" collapsed="false">
      <c r="B10" s="179" t="s">
        <v>182</v>
      </c>
      <c r="C10" s="186" t="n">
        <v>1.1547</v>
      </c>
    </row>
    <row r="11" customFormat="false" ht="13.5" hidden="false" customHeight="true" outlineLevel="0" collapsed="false">
      <c r="B11" s="182"/>
      <c r="C11" s="182"/>
    </row>
    <row r="12" customFormat="false" ht="15" hidden="false" customHeight="true" outlineLevel="0" collapsed="false">
      <c r="B12" s="187" t="s">
        <v>183</v>
      </c>
      <c r="C12" s="188"/>
    </row>
    <row r="13" customFormat="false" ht="15" hidden="false" customHeight="true" outlineLevel="0" collapsed="false">
      <c r="B13" s="179" t="s">
        <v>184</v>
      </c>
      <c r="C13" s="189" t="n">
        <f aca="false">C6*(1+C9)</f>
        <v>104.338125</v>
      </c>
      <c r="D13" s="190"/>
      <c r="F13" s="191"/>
    </row>
    <row r="14" customFormat="false" ht="15" hidden="false" customHeight="true" outlineLevel="0" collapsed="false">
      <c r="B14" s="179" t="s">
        <v>185</v>
      </c>
      <c r="C14" s="189" t="n">
        <f aca="false">C6*(1+C10)</f>
        <v>121.201875</v>
      </c>
      <c r="D14" s="190"/>
      <c r="F14" s="191"/>
    </row>
    <row r="16" customFormat="false" ht="32.25" hidden="false" customHeight="true" outlineLevel="0" collapsed="false">
      <c r="B16" s="192" t="s">
        <v>186</v>
      </c>
      <c r="C16" s="192"/>
    </row>
  </sheetData>
  <mergeCells count="1">
    <mergeCell ref="B16:C1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4" ma:contentTypeDescription="Crie um novo documento." ma:contentTypeScope="" ma:versionID="140884992dbb5d518fc055238ea1fb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689ffa8dbc87ff061da798b6e9d0ca1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E47B2BC-A5A7-4463-863B-138182D5CE81}"/>
</file>

<file path=customXml/itemProps2.xml><?xml version="1.0" encoding="utf-8"?>
<ds:datastoreItem xmlns:ds="http://schemas.openxmlformats.org/officeDocument/2006/customXml" ds:itemID="{19EE1BE7-826B-4621-9ED3-4701CE39B331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dcmitype/"/>
    <ds:schemaRef ds:uri="132d983b-bc52-4905-b3a2-4655d790e7be"/>
    <ds:schemaRef ds:uri="http://schemas.microsoft.com/office/infopath/2007/PartnerControls"/>
    <ds:schemaRef ds:uri="706c7f7c-e32b-4162-b9b5-46b4313c91a4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F3A8E04-5F1C-4EE6-81D6-803C5BC182C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E1AA5E3-C9FC-4B33-BE16-2BF9EB035C4B}"/>
</file>

<file path=customXml/itemProps5.xml><?xml version="1.0" encoding="utf-8"?>
<ds:datastoreItem xmlns:ds="http://schemas.openxmlformats.org/officeDocument/2006/customXml" ds:itemID="{1A91DAA3-9350-422F-9883-ECFE268357D5}"/>
</file>

<file path=customXml/itemProps6.xml><?xml version="1.0" encoding="utf-8"?>
<ds:datastoreItem xmlns:ds="http://schemas.openxmlformats.org/officeDocument/2006/customXml" ds:itemID="{965579BE-276F-4ACF-AC3C-772252ACCB94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97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dc:description/>
  <cp:lastModifiedBy/>
  <cp:revision>41</cp:revision>
  <dcterms:created xsi:type="dcterms:W3CDTF">2022-02-01T12:05:24Z</dcterms:created>
  <dcterms:modified xsi:type="dcterms:W3CDTF">2023-12-07T09:46:31Z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